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2760" yWindow="32760" windowWidth="24120" windowHeight="13620" activeTab="1"/>
  </bookViews>
  <sheets>
    <sheet name="Смета по ФЕР 421пр (12 гр." sheetId="5" r:id="rId1"/>
    <sheet name="Ведомость объемов работ" sheetId="6" r:id="rId2"/>
    <sheet name="Source" sheetId="1" r:id="rId3"/>
    <sheet name="SourceObSm" sheetId="2" r:id="rId4"/>
    <sheet name="SmtRes" sheetId="3" r:id="rId5"/>
    <sheet name="EtalonRes" sheetId="4" r:id="rId6"/>
  </sheets>
  <definedNames>
    <definedName name="_xlnm.Print_Titles" localSheetId="1">'Ведомость объемов работ'!$16:$16</definedName>
    <definedName name="_xlnm.Print_Titles" localSheetId="0">'Смета по ФЕР 421пр (12 гр.'!$46:$46</definedName>
    <definedName name="_xlnm.Print_Area" localSheetId="1">'Ведомость объемов работ'!$A$1:$H$29</definedName>
    <definedName name="_xlnm.Print_Area" localSheetId="0">'Смета по ФЕР 421пр (12 гр.'!$A$1:$L$133</definedName>
  </definedNames>
  <calcPr calcId="125725"/>
</workbook>
</file>

<file path=xl/calcChain.xml><?xml version="1.0" encoding="utf-8"?>
<calcChain xmlns="http://schemas.openxmlformats.org/spreadsheetml/2006/main">
  <c r="G24" i="6"/>
  <c r="F24"/>
  <c r="E24"/>
  <c r="D24"/>
  <c r="C24"/>
  <c r="B24"/>
  <c r="G23"/>
  <c r="F23"/>
  <c r="E23"/>
  <c r="D23"/>
  <c r="C23"/>
  <c r="B23"/>
  <c r="G22"/>
  <c r="F22"/>
  <c r="E22"/>
  <c r="D22"/>
  <c r="C22"/>
  <c r="B22"/>
  <c r="G21"/>
  <c r="F21"/>
  <c r="E21"/>
  <c r="D21"/>
  <c r="C21"/>
  <c r="B21"/>
  <c r="G20"/>
  <c r="F20"/>
  <c r="E20"/>
  <c r="D20"/>
  <c r="C20"/>
  <c r="B20"/>
  <c r="G19"/>
  <c r="F19"/>
  <c r="E19"/>
  <c r="D19"/>
  <c r="C19"/>
  <c r="B19"/>
  <c r="G18"/>
  <c r="F18"/>
  <c r="E18"/>
  <c r="D18"/>
  <c r="C18"/>
  <c r="B18"/>
  <c r="AE13"/>
  <c r="B12"/>
  <c r="A1"/>
  <c r="CN23" i="5"/>
  <c r="CN18"/>
  <c r="CP10"/>
  <c r="H131"/>
  <c r="H128"/>
  <c r="C131"/>
  <c r="C128"/>
  <c r="C40"/>
  <c r="D40"/>
  <c r="L125"/>
  <c r="K125"/>
  <c r="C125"/>
  <c r="L124"/>
  <c r="K124"/>
  <c r="C124"/>
  <c r="L123"/>
  <c r="K123"/>
  <c r="C123"/>
  <c r="L122"/>
  <c r="L121"/>
  <c r="K118"/>
  <c r="B118"/>
  <c r="J118"/>
  <c r="J115" s="1"/>
  <c r="L117"/>
  <c r="K117"/>
  <c r="B117"/>
  <c r="J117"/>
  <c r="K114"/>
  <c r="B114"/>
  <c r="J114"/>
  <c r="J109" s="1"/>
  <c r="K110"/>
  <c r="B110"/>
  <c r="K109"/>
  <c r="B109"/>
  <c r="K108"/>
  <c r="L108" s="1"/>
  <c r="B108"/>
  <c r="J108"/>
  <c r="AE102"/>
  <c r="AA102"/>
  <c r="W102"/>
  <c r="P102"/>
  <c r="AF102"/>
  <c r="AY102"/>
  <c r="AO102"/>
  <c r="AC102"/>
  <c r="Y102"/>
  <c r="R102"/>
  <c r="V102"/>
  <c r="BI102"/>
  <c r="BB102"/>
  <c r="J100"/>
  <c r="I102" s="1"/>
  <c r="O102" s="1"/>
  <c r="H100"/>
  <c r="E100"/>
  <c r="BD100"/>
  <c r="BC100"/>
  <c r="AJ100"/>
  <c r="AT100" s="1"/>
  <c r="AH100"/>
  <c r="AS100" s="1"/>
  <c r="AI100"/>
  <c r="AG100"/>
  <c r="G100"/>
  <c r="D100"/>
  <c r="C100"/>
  <c r="B100"/>
  <c r="AE99"/>
  <c r="AA99"/>
  <c r="W99"/>
  <c r="P99"/>
  <c r="AF99"/>
  <c r="AY99"/>
  <c r="AO99"/>
  <c r="AC99"/>
  <c r="Y99"/>
  <c r="R99"/>
  <c r="V99"/>
  <c r="BI99"/>
  <c r="C39" s="1"/>
  <c r="BB99"/>
  <c r="C98"/>
  <c r="J96"/>
  <c r="AR99" s="1"/>
  <c r="H96"/>
  <c r="E96"/>
  <c r="BD96"/>
  <c r="BC96"/>
  <c r="AT96"/>
  <c r="AJ96"/>
  <c r="AH96"/>
  <c r="AS96" s="1"/>
  <c r="AI96"/>
  <c r="AG96"/>
  <c r="G96"/>
  <c r="D96"/>
  <c r="C96"/>
  <c r="B96"/>
  <c r="AD95"/>
  <c r="Z95"/>
  <c r="P95"/>
  <c r="AF95"/>
  <c r="AY95"/>
  <c r="AO95"/>
  <c r="AZ95"/>
  <c r="AP95"/>
  <c r="AB95"/>
  <c r="X95"/>
  <c r="BA95"/>
  <c r="AX95"/>
  <c r="G94"/>
  <c r="E94"/>
  <c r="G93"/>
  <c r="E93"/>
  <c r="G90"/>
  <c r="E90"/>
  <c r="L89"/>
  <c r="U95" s="1"/>
  <c r="L92" s="1"/>
  <c r="K89"/>
  <c r="J89"/>
  <c r="H89"/>
  <c r="H91" s="1"/>
  <c r="C88"/>
  <c r="E86"/>
  <c r="BD86"/>
  <c r="BC86"/>
  <c r="AT86"/>
  <c r="AJ86"/>
  <c r="L94" s="1"/>
  <c r="AH86"/>
  <c r="L93" s="1"/>
  <c r="AI86"/>
  <c r="J94" s="1"/>
  <c r="AG86"/>
  <c r="J93" s="1"/>
  <c r="G86"/>
  <c r="D86"/>
  <c r="C86"/>
  <c r="B86"/>
  <c r="AD85"/>
  <c r="Z85"/>
  <c r="P85"/>
  <c r="AF85"/>
  <c r="AY85"/>
  <c r="AO85"/>
  <c r="AZ85"/>
  <c r="AP85"/>
  <c r="AB85"/>
  <c r="X85"/>
  <c r="BA85"/>
  <c r="AX85"/>
  <c r="G84"/>
  <c r="E84"/>
  <c r="G83"/>
  <c r="E83"/>
  <c r="G80"/>
  <c r="E80"/>
  <c r="L79"/>
  <c r="U85" s="1"/>
  <c r="L82" s="1"/>
  <c r="K79"/>
  <c r="J79"/>
  <c r="AQ85" s="1"/>
  <c r="H79"/>
  <c r="H81" s="1"/>
  <c r="E77"/>
  <c r="BD77"/>
  <c r="BC77"/>
  <c r="AJ77"/>
  <c r="L84" s="1"/>
  <c r="AH77"/>
  <c r="AS77" s="1"/>
  <c r="AI77"/>
  <c r="J84" s="1"/>
  <c r="AG77"/>
  <c r="J83" s="1"/>
  <c r="G77"/>
  <c r="D77"/>
  <c r="C77"/>
  <c r="B77"/>
  <c r="AD76"/>
  <c r="Z76"/>
  <c r="P76"/>
  <c r="AF76"/>
  <c r="AY76"/>
  <c r="AO76"/>
  <c r="AZ76"/>
  <c r="AP76"/>
  <c r="AB76"/>
  <c r="X76"/>
  <c r="BA76"/>
  <c r="AX76"/>
  <c r="G75"/>
  <c r="E75"/>
  <c r="G74"/>
  <c r="E74"/>
  <c r="G71"/>
  <c r="E71"/>
  <c r="L70"/>
  <c r="U76" s="1"/>
  <c r="L73" s="1"/>
  <c r="K70"/>
  <c r="J70"/>
  <c r="AQ76" s="1"/>
  <c r="H70"/>
  <c r="H72" s="1"/>
  <c r="C69"/>
  <c r="E67"/>
  <c r="BD67"/>
  <c r="BC67"/>
  <c r="AJ67"/>
  <c r="L75" s="1"/>
  <c r="AH67"/>
  <c r="L74" s="1"/>
  <c r="AI67"/>
  <c r="J75" s="1"/>
  <c r="AG67"/>
  <c r="J74" s="1"/>
  <c r="G67"/>
  <c r="D67"/>
  <c r="C67"/>
  <c r="B67"/>
  <c r="AD66"/>
  <c r="Z66"/>
  <c r="P66"/>
  <c r="AF66"/>
  <c r="AY66"/>
  <c r="AO66"/>
  <c r="AZ66"/>
  <c r="AP66"/>
  <c r="AB66"/>
  <c r="X66"/>
  <c r="BA66"/>
  <c r="AX66"/>
  <c r="G65"/>
  <c r="E65"/>
  <c r="G64"/>
  <c r="E64"/>
  <c r="G61"/>
  <c r="E61"/>
  <c r="L60"/>
  <c r="U66" s="1"/>
  <c r="L63" s="1"/>
  <c r="K60"/>
  <c r="J60"/>
  <c r="AQ66" s="1"/>
  <c r="H60"/>
  <c r="H62" s="1"/>
  <c r="C59"/>
  <c r="E57"/>
  <c r="BD57"/>
  <c r="BC57"/>
  <c r="AT57"/>
  <c r="AJ57"/>
  <c r="L65" s="1"/>
  <c r="AH57"/>
  <c r="AS57" s="1"/>
  <c r="AI57"/>
  <c r="J65" s="1"/>
  <c r="AG57"/>
  <c r="J64" s="1"/>
  <c r="I66" s="1"/>
  <c r="O66" s="1"/>
  <c r="G57"/>
  <c r="D57"/>
  <c r="C57"/>
  <c r="B57"/>
  <c r="AD56"/>
  <c r="Z56"/>
  <c r="P56"/>
  <c r="AF56"/>
  <c r="AY56"/>
  <c r="C38" s="1"/>
  <c r="AO56"/>
  <c r="AZ56"/>
  <c r="AP56"/>
  <c r="AB56"/>
  <c r="X56"/>
  <c r="BA56"/>
  <c r="AX56"/>
  <c r="D38" s="1"/>
  <c r="G55"/>
  <c r="E55"/>
  <c r="G54"/>
  <c r="E54"/>
  <c r="G51"/>
  <c r="E51"/>
  <c r="L50"/>
  <c r="U56" s="1"/>
  <c r="L53" s="1"/>
  <c r="K50"/>
  <c r="J50"/>
  <c r="H50"/>
  <c r="H52" s="1"/>
  <c r="C49"/>
  <c r="E47"/>
  <c r="BD47"/>
  <c r="BC47"/>
  <c r="AJ47"/>
  <c r="L113" s="1"/>
  <c r="AH47"/>
  <c r="L112" s="1"/>
  <c r="AI47"/>
  <c r="J55" s="1"/>
  <c r="AG47"/>
  <c r="J54" s="1"/>
  <c r="G47"/>
  <c r="D47"/>
  <c r="C47"/>
  <c r="B47"/>
  <c r="J40"/>
  <c r="I40"/>
  <c r="B21"/>
  <c r="H6"/>
  <c r="B6"/>
  <c r="A1"/>
  <c r="I56" l="1"/>
  <c r="O56" s="1"/>
  <c r="AT47"/>
  <c r="L54"/>
  <c r="AT67"/>
  <c r="J72"/>
  <c r="AT77"/>
  <c r="L83"/>
  <c r="I99"/>
  <c r="O99" s="1"/>
  <c r="J112"/>
  <c r="J113"/>
  <c r="L109"/>
  <c r="D39"/>
  <c r="AS47"/>
  <c r="L55"/>
  <c r="J62"/>
  <c r="Q66"/>
  <c r="J63" s="1"/>
  <c r="R66"/>
  <c r="L64"/>
  <c r="AS67"/>
  <c r="R76"/>
  <c r="Q85"/>
  <c r="J82" s="1"/>
  <c r="AR102"/>
  <c r="J110" s="1"/>
  <c r="L110" s="1"/>
  <c r="L105" s="1"/>
  <c r="L119" s="1"/>
  <c r="I36"/>
  <c r="L114"/>
  <c r="I76"/>
  <c r="O76" s="1"/>
  <c r="L107"/>
  <c r="L111"/>
  <c r="L118"/>
  <c r="L115" s="1"/>
  <c r="AN56"/>
  <c r="AN95"/>
  <c r="R85"/>
  <c r="Q56"/>
  <c r="AQ95"/>
  <c r="J81"/>
  <c r="Q95"/>
  <c r="J92" s="1"/>
  <c r="AQ56"/>
  <c r="AN66"/>
  <c r="AS86"/>
  <c r="J91"/>
  <c r="AN76"/>
  <c r="I85"/>
  <c r="O85" s="1"/>
  <c r="J52"/>
  <c r="R56"/>
  <c r="Q76"/>
  <c r="J73" s="1"/>
  <c r="AN85"/>
  <c r="R95"/>
  <c r="I95"/>
  <c r="O95" s="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1" i="3"/>
  <c r="CY1"/>
  <c r="CZ1"/>
  <c r="DB1" s="1"/>
  <c r="DA1"/>
  <c r="DC1"/>
  <c r="A2"/>
  <c r="CY2"/>
  <c r="CZ2"/>
  <c r="DB2" s="1"/>
  <c r="DA2"/>
  <c r="DC2"/>
  <c r="A3"/>
  <c r="CY3"/>
  <c r="CZ3"/>
  <c r="DA3"/>
  <c r="DB3"/>
  <c r="DC3"/>
  <c r="A4"/>
  <c r="CY4"/>
  <c r="CZ4"/>
  <c r="DA4"/>
  <c r="DB4"/>
  <c r="DC4"/>
  <c r="A5"/>
  <c r="CY5"/>
  <c r="CZ5"/>
  <c r="DB5" s="1"/>
  <c r="DA5"/>
  <c r="DC5"/>
  <c r="A6"/>
  <c r="CY6"/>
  <c r="CZ6"/>
  <c r="DB6" s="1"/>
  <c r="DA6"/>
  <c r="DC6"/>
  <c r="A7"/>
  <c r="CY7"/>
  <c r="CZ7"/>
  <c r="DA7"/>
  <c r="DB7"/>
  <c r="DC7"/>
  <c r="A8"/>
  <c r="CY8"/>
  <c r="CZ8"/>
  <c r="DA8"/>
  <c r="DB8"/>
  <c r="DC8"/>
  <c r="A9"/>
  <c r="CY9"/>
  <c r="CZ9"/>
  <c r="DB9" s="1"/>
  <c r="DA9"/>
  <c r="DC9"/>
  <c r="A10"/>
  <c r="CY10"/>
  <c r="CZ10"/>
  <c r="DB10" s="1"/>
  <c r="DA10"/>
  <c r="DC10"/>
  <c r="A11"/>
  <c r="CY11"/>
  <c r="CZ11"/>
  <c r="DB11" s="1"/>
  <c r="DA11"/>
  <c r="DC11"/>
  <c r="A12"/>
  <c r="CY12"/>
  <c r="CZ12"/>
  <c r="DB12" s="1"/>
  <c r="DA12"/>
  <c r="DC12"/>
  <c r="A13"/>
  <c r="CY13"/>
  <c r="CZ13"/>
  <c r="DA13"/>
  <c r="DB13"/>
  <c r="DC13"/>
  <c r="A14"/>
  <c r="CY14"/>
  <c r="CZ14"/>
  <c r="DB14" s="1"/>
  <c r="DA14"/>
  <c r="DC14"/>
  <c r="A15"/>
  <c r="CY15"/>
  <c r="CZ15"/>
  <c r="DA15"/>
  <c r="DB15"/>
  <c r="DC15"/>
  <c r="A16"/>
  <c r="CY16"/>
  <c r="CZ16"/>
  <c r="DA16"/>
  <c r="DB16"/>
  <c r="DC16"/>
  <c r="A17"/>
  <c r="CX17"/>
  <c r="CY17"/>
  <c r="CZ17"/>
  <c r="DB17" s="1"/>
  <c r="DA17"/>
  <c r="DC17"/>
  <c r="A18"/>
  <c r="CX18"/>
  <c r="CY18"/>
  <c r="CZ18"/>
  <c r="DB18" s="1"/>
  <c r="DA18"/>
  <c r="DC18"/>
  <c r="A19"/>
  <c r="CX19"/>
  <c r="CY19"/>
  <c r="CZ19"/>
  <c r="DA19"/>
  <c r="DB19"/>
  <c r="DC19"/>
  <c r="A20"/>
  <c r="CX20"/>
  <c r="CY20"/>
  <c r="CZ20"/>
  <c r="DA20"/>
  <c r="DB20"/>
  <c r="DC20"/>
  <c r="A21"/>
  <c r="CX21"/>
  <c r="CY21"/>
  <c r="CZ21"/>
  <c r="DB21" s="1"/>
  <c r="DA21"/>
  <c r="DC21"/>
  <c r="A22"/>
  <c r="CX22"/>
  <c r="CY22"/>
  <c r="CZ22"/>
  <c r="DB22" s="1"/>
  <c r="DA22"/>
  <c r="DC22"/>
  <c r="A23"/>
  <c r="CX23"/>
  <c r="CY23"/>
  <c r="CZ23"/>
  <c r="DA23"/>
  <c r="DB23"/>
  <c r="DC23"/>
  <c r="A24"/>
  <c r="CX24"/>
  <c r="CY24"/>
  <c r="CZ24"/>
  <c r="DB24" s="1"/>
  <c r="DA24"/>
  <c r="DC24"/>
  <c r="A25"/>
  <c r="CX25"/>
  <c r="CY25"/>
  <c r="CZ25"/>
  <c r="DB25" s="1"/>
  <c r="DA25"/>
  <c r="DC25"/>
  <c r="A26"/>
  <c r="CX26"/>
  <c r="CY26"/>
  <c r="CZ26"/>
  <c r="DA26"/>
  <c r="DB26"/>
  <c r="DC26"/>
  <c r="A27"/>
  <c r="CY27"/>
  <c r="CZ27"/>
  <c r="DA27"/>
  <c r="DB27"/>
  <c r="DC27"/>
  <c r="A28"/>
  <c r="CY28"/>
  <c r="CZ28"/>
  <c r="DA28"/>
  <c r="DB28"/>
  <c r="DC28"/>
  <c r="A29"/>
  <c r="CY29"/>
  <c r="CZ29"/>
  <c r="DB29" s="1"/>
  <c r="DA29"/>
  <c r="DC29"/>
  <c r="A30"/>
  <c r="CY30"/>
  <c r="CZ30"/>
  <c r="DB30" s="1"/>
  <c r="DA30"/>
  <c r="DC30"/>
  <c r="A31"/>
  <c r="CY31"/>
  <c r="CZ31"/>
  <c r="DA31"/>
  <c r="DB31"/>
  <c r="DC31"/>
  <c r="A32"/>
  <c r="CY32"/>
  <c r="CZ32"/>
  <c r="DA32"/>
  <c r="DB32"/>
  <c r="DC32"/>
  <c r="A33"/>
  <c r="CY33"/>
  <c r="CZ33"/>
  <c r="DA33"/>
  <c r="DB33"/>
  <c r="DC33"/>
  <c r="A34"/>
  <c r="CY34"/>
  <c r="CZ34"/>
  <c r="DB34" s="1"/>
  <c r="DA34"/>
  <c r="DC34"/>
  <c r="A35"/>
  <c r="CY35"/>
  <c r="CZ35"/>
  <c r="DA35"/>
  <c r="DB35"/>
  <c r="DC35"/>
  <c r="A36"/>
  <c r="CY36"/>
  <c r="CZ36"/>
  <c r="DA36"/>
  <c r="DB36"/>
  <c r="DC36"/>
  <c r="A37"/>
  <c r="CY37"/>
  <c r="CZ37"/>
  <c r="DB37" s="1"/>
  <c r="DA37"/>
  <c r="DC37"/>
  <c r="A38"/>
  <c r="CY38"/>
  <c r="CZ38"/>
  <c r="DB38" s="1"/>
  <c r="DA38"/>
  <c r="DC38"/>
  <c r="A39"/>
  <c r="CY39"/>
  <c r="CZ39"/>
  <c r="DA39"/>
  <c r="DB39"/>
  <c r="DC39"/>
  <c r="A40"/>
  <c r="CY40"/>
  <c r="CZ40"/>
  <c r="DA40"/>
  <c r="DB40"/>
  <c r="DC40"/>
  <c r="A41"/>
  <c r="CY41"/>
  <c r="CZ41"/>
  <c r="DB41" s="1"/>
  <c r="DA41"/>
  <c r="DC41"/>
  <c r="A42"/>
  <c r="CY42"/>
  <c r="CZ42"/>
  <c r="DB42" s="1"/>
  <c r="DA42"/>
  <c r="DC42"/>
  <c r="A43"/>
  <c r="CY43"/>
  <c r="CZ43"/>
  <c r="DA43"/>
  <c r="DB43"/>
  <c r="DC43"/>
  <c r="A44"/>
  <c r="CY44"/>
  <c r="CZ44"/>
  <c r="DA44"/>
  <c r="DB44"/>
  <c r="DC44"/>
  <c r="A45"/>
  <c r="CY45"/>
  <c r="CZ45"/>
  <c r="DA45"/>
  <c r="DB45"/>
  <c r="DC45"/>
  <c r="A46"/>
  <c r="CY46"/>
  <c r="CZ46"/>
  <c r="DB46" s="1"/>
  <c r="DA46"/>
  <c r="DC46"/>
  <c r="A47"/>
  <c r="CY47"/>
  <c r="CZ47"/>
  <c r="DA47"/>
  <c r="DB47"/>
  <c r="DC47"/>
  <c r="A48"/>
  <c r="CY48"/>
  <c r="CZ48"/>
  <c r="DA48"/>
  <c r="DB48"/>
  <c r="DC48"/>
  <c r="A49"/>
  <c r="CY49"/>
  <c r="CZ49"/>
  <c r="DB49" s="1"/>
  <c r="DA49"/>
  <c r="DC49"/>
  <c r="A50"/>
  <c r="CY50"/>
  <c r="CZ50"/>
  <c r="DB50" s="1"/>
  <c r="DA50"/>
  <c r="DC50"/>
  <c r="A51"/>
  <c r="CY51"/>
  <c r="CZ51"/>
  <c r="DA51"/>
  <c r="DB51"/>
  <c r="DC51"/>
  <c r="A52"/>
  <c r="CY52"/>
  <c r="CZ52"/>
  <c r="DA52"/>
  <c r="DB52"/>
  <c r="DC52"/>
  <c r="A53"/>
  <c r="CX53"/>
  <c r="CY53"/>
  <c r="CZ53"/>
  <c r="DB53" s="1"/>
  <c r="DA53"/>
  <c r="DC53"/>
  <c r="A54"/>
  <c r="CX54"/>
  <c r="CY54"/>
  <c r="CZ54"/>
  <c r="DB54" s="1"/>
  <c r="DA54"/>
  <c r="DC54"/>
  <c r="A55"/>
  <c r="CX55"/>
  <c r="CY55"/>
  <c r="CZ55"/>
  <c r="DA55"/>
  <c r="DB55"/>
  <c r="DC55"/>
  <c r="A56"/>
  <c r="CX56"/>
  <c r="CY56"/>
  <c r="CZ56"/>
  <c r="DA56"/>
  <c r="DB56"/>
  <c r="DC56"/>
  <c r="A57"/>
  <c r="CX57"/>
  <c r="CY57"/>
  <c r="CZ57"/>
  <c r="DA57"/>
  <c r="DB57"/>
  <c r="DC57"/>
  <c r="A58"/>
  <c r="CX58"/>
  <c r="CY58"/>
  <c r="CZ58"/>
  <c r="DB58" s="1"/>
  <c r="DA58"/>
  <c r="DC58"/>
  <c r="A59"/>
  <c r="CX59"/>
  <c r="CY59"/>
  <c r="CZ59"/>
  <c r="DA59"/>
  <c r="DB59"/>
  <c r="DC59"/>
  <c r="A60"/>
  <c r="CX60"/>
  <c r="CY60"/>
  <c r="CZ60"/>
  <c r="DA60"/>
  <c r="DB60"/>
  <c r="DC60"/>
  <c r="A61"/>
  <c r="CX61"/>
  <c r="CY61"/>
  <c r="CZ61"/>
  <c r="DB61" s="1"/>
  <c r="DA61"/>
  <c r="DC61"/>
  <c r="A62"/>
  <c r="CX62"/>
  <c r="CY62"/>
  <c r="CZ62"/>
  <c r="DB62" s="1"/>
  <c r="DA62"/>
  <c r="DC62"/>
  <c r="A63"/>
  <c r="CX63"/>
  <c r="CY63"/>
  <c r="CZ63"/>
  <c r="DA63"/>
  <c r="DB63"/>
  <c r="DC63"/>
  <c r="A64"/>
  <c r="CX64"/>
  <c r="CY64"/>
  <c r="CZ64"/>
  <c r="DA64"/>
  <c r="DB64"/>
  <c r="DC64"/>
  <c r="A65"/>
  <c r="CX65"/>
  <c r="CY65"/>
  <c r="CZ65"/>
  <c r="DB65" s="1"/>
  <c r="DA65"/>
  <c r="DC65"/>
  <c r="A66"/>
  <c r="CX66"/>
  <c r="CY66"/>
  <c r="CZ66"/>
  <c r="DB66" s="1"/>
  <c r="DA66"/>
  <c r="DC66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R18"/>
  <c r="DS18"/>
  <c r="DT18"/>
  <c r="DU18"/>
  <c r="DV18"/>
  <c r="DW18"/>
  <c r="DX18"/>
  <c r="DY18"/>
  <c r="DZ18"/>
  <c r="EA18"/>
  <c r="EB18"/>
  <c r="EC18"/>
  <c r="ED18"/>
  <c r="EE18"/>
  <c r="EF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R22"/>
  <c r="DS22"/>
  <c r="EE22"/>
  <c r="EF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C24"/>
  <c r="D24"/>
  <c r="I24"/>
  <c r="CX1" i="3" s="1"/>
  <c r="K24" i="1"/>
  <c r="R24"/>
  <c r="HI24" s="1"/>
  <c r="U24"/>
  <c r="AC24"/>
  <c r="CQ24" s="1"/>
  <c r="P24" s="1"/>
  <c r="AD24"/>
  <c r="CR24" s="1"/>
  <c r="Q24" s="1"/>
  <c r="AE24"/>
  <c r="AF24"/>
  <c r="CT24" s="1"/>
  <c r="S24" s="1"/>
  <c r="AG24"/>
  <c r="AH24"/>
  <c r="AI24"/>
  <c r="AJ24"/>
  <c r="CX24" s="1"/>
  <c r="W24" s="1"/>
  <c r="CS24"/>
  <c r="CU24"/>
  <c r="T24" s="1"/>
  <c r="CV24"/>
  <c r="CW24"/>
  <c r="V24" s="1"/>
  <c r="FR24"/>
  <c r="GL24"/>
  <c r="GO24"/>
  <c r="GP24"/>
  <c r="GV24"/>
  <c r="HC24"/>
  <c r="GX24" s="1"/>
  <c r="C25"/>
  <c r="D25"/>
  <c r="I25"/>
  <c r="U25" s="1"/>
  <c r="K25"/>
  <c r="AB25"/>
  <c r="AC25"/>
  <c r="CQ25" s="1"/>
  <c r="P25" s="1"/>
  <c r="CP25" s="1"/>
  <c r="O25" s="1"/>
  <c r="AD25"/>
  <c r="AE25"/>
  <c r="AF25"/>
  <c r="AG25"/>
  <c r="AH25"/>
  <c r="AI25"/>
  <c r="AJ25"/>
  <c r="CX25" s="1"/>
  <c r="W25" s="1"/>
  <c r="CR25"/>
  <c r="Q25" s="1"/>
  <c r="CS25"/>
  <c r="R25" s="1"/>
  <c r="HI25" s="1"/>
  <c r="CT25"/>
  <c r="S25" s="1"/>
  <c r="CU25"/>
  <c r="T25" s="1"/>
  <c r="CV25"/>
  <c r="CW25"/>
  <c r="FR25"/>
  <c r="GL25"/>
  <c r="GO25"/>
  <c r="GP25"/>
  <c r="GV25"/>
  <c r="HC25"/>
  <c r="GX25" s="1"/>
  <c r="C26"/>
  <c r="D26"/>
  <c r="I26"/>
  <c r="U26" s="1"/>
  <c r="K26"/>
  <c r="AB26"/>
  <c r="AC26"/>
  <c r="CQ26" s="1"/>
  <c r="P26" s="1"/>
  <c r="CP26" s="1"/>
  <c r="O26" s="1"/>
  <c r="AD26"/>
  <c r="AE26"/>
  <c r="AF26"/>
  <c r="AG26"/>
  <c r="AH26"/>
  <c r="AI26"/>
  <c r="AJ26"/>
  <c r="CX26" s="1"/>
  <c r="W26" s="1"/>
  <c r="CR26"/>
  <c r="Q26" s="1"/>
  <c r="CS26"/>
  <c r="R26" s="1"/>
  <c r="HI26" s="1"/>
  <c r="CT26"/>
  <c r="S26" s="1"/>
  <c r="CU26"/>
  <c r="T26" s="1"/>
  <c r="CV26"/>
  <c r="CW26"/>
  <c r="FR26"/>
  <c r="GL26"/>
  <c r="GO26"/>
  <c r="GP26"/>
  <c r="GV26"/>
  <c r="HC26" s="1"/>
  <c r="GX26" s="1"/>
  <c r="C27"/>
  <c r="D27"/>
  <c r="I27"/>
  <c r="U27" s="1"/>
  <c r="K27"/>
  <c r="AB27"/>
  <c r="AC27"/>
  <c r="CQ27" s="1"/>
  <c r="P27" s="1"/>
  <c r="CP27" s="1"/>
  <c r="O27" s="1"/>
  <c r="AD27"/>
  <c r="AE27"/>
  <c r="AF27"/>
  <c r="AG27"/>
  <c r="AH27"/>
  <c r="AI27"/>
  <c r="AJ27"/>
  <c r="CX27" s="1"/>
  <c r="W27" s="1"/>
  <c r="CR27"/>
  <c r="Q27" s="1"/>
  <c r="CS27"/>
  <c r="R27" s="1"/>
  <c r="HI27" s="1"/>
  <c r="CT27"/>
  <c r="S27" s="1"/>
  <c r="CU27"/>
  <c r="T27" s="1"/>
  <c r="CV27"/>
  <c r="CW27"/>
  <c r="FR27"/>
  <c r="GL27"/>
  <c r="GO27"/>
  <c r="GP27"/>
  <c r="GV27"/>
  <c r="HC27" s="1"/>
  <c r="GX27" s="1"/>
  <c r="C28"/>
  <c r="D28"/>
  <c r="I28"/>
  <c r="CX5" i="3" s="1"/>
  <c r="K28" i="1"/>
  <c r="AB28"/>
  <c r="AC28"/>
  <c r="CQ28" s="1"/>
  <c r="P28" s="1"/>
  <c r="CP28" s="1"/>
  <c r="O28" s="1"/>
  <c r="AD28"/>
  <c r="AE28"/>
  <c r="AF28"/>
  <c r="AG28"/>
  <c r="AH28"/>
  <c r="AI28"/>
  <c r="AJ28"/>
  <c r="CX28" s="1"/>
  <c r="W28" s="1"/>
  <c r="CR28"/>
  <c r="Q28" s="1"/>
  <c r="CS28"/>
  <c r="R28" s="1"/>
  <c r="HI28" s="1"/>
  <c r="CT28"/>
  <c r="S28" s="1"/>
  <c r="CU28"/>
  <c r="T28" s="1"/>
  <c r="CV28"/>
  <c r="CW28"/>
  <c r="FR28"/>
  <c r="GL28"/>
  <c r="GO28"/>
  <c r="GP28"/>
  <c r="GV28"/>
  <c r="HC28" s="1"/>
  <c r="GX28" s="1"/>
  <c r="C29"/>
  <c r="D29"/>
  <c r="I29"/>
  <c r="U29" s="1"/>
  <c r="K29"/>
  <c r="AB29"/>
  <c r="AC29"/>
  <c r="CQ29" s="1"/>
  <c r="P29" s="1"/>
  <c r="CP29" s="1"/>
  <c r="O29" s="1"/>
  <c r="AD29"/>
  <c r="AE29"/>
  <c r="AF29"/>
  <c r="AG29"/>
  <c r="AH29"/>
  <c r="AI29"/>
  <c r="AJ29"/>
  <c r="CX29" s="1"/>
  <c r="W29" s="1"/>
  <c r="CR29"/>
  <c r="Q29" s="1"/>
  <c r="CS29"/>
  <c r="R29" s="1"/>
  <c r="HI29" s="1"/>
  <c r="CT29"/>
  <c r="S29" s="1"/>
  <c r="CU29"/>
  <c r="T29" s="1"/>
  <c r="CV29"/>
  <c r="CW29"/>
  <c r="FR29"/>
  <c r="GL29"/>
  <c r="GO29"/>
  <c r="GP29"/>
  <c r="GV29"/>
  <c r="HC29" s="1"/>
  <c r="GX29" s="1"/>
  <c r="C30"/>
  <c r="D30"/>
  <c r="I30"/>
  <c r="U30" s="1"/>
  <c r="K30"/>
  <c r="AB30"/>
  <c r="AC30"/>
  <c r="CQ30" s="1"/>
  <c r="P30" s="1"/>
  <c r="CP30" s="1"/>
  <c r="O30" s="1"/>
  <c r="AD30"/>
  <c r="AE30"/>
  <c r="AF30"/>
  <c r="AG30"/>
  <c r="AH30"/>
  <c r="AI30"/>
  <c r="AJ30"/>
  <c r="CX30" s="1"/>
  <c r="W30" s="1"/>
  <c r="CR30"/>
  <c r="Q30" s="1"/>
  <c r="CS30"/>
  <c r="R30" s="1"/>
  <c r="HI30" s="1"/>
  <c r="CT30"/>
  <c r="S30" s="1"/>
  <c r="CU30"/>
  <c r="T30" s="1"/>
  <c r="CV30"/>
  <c r="CW30"/>
  <c r="FR30"/>
  <c r="GL30"/>
  <c r="GO30"/>
  <c r="GP30"/>
  <c r="GV30"/>
  <c r="HC30" s="1"/>
  <c r="GX30" s="1"/>
  <c r="C31"/>
  <c r="D31"/>
  <c r="I31"/>
  <c r="U31" s="1"/>
  <c r="K31"/>
  <c r="AB31"/>
  <c r="AC31"/>
  <c r="CQ31" s="1"/>
  <c r="P31" s="1"/>
  <c r="CP31" s="1"/>
  <c r="O31" s="1"/>
  <c r="AD31"/>
  <c r="AE31"/>
  <c r="AF31"/>
  <c r="AG31"/>
  <c r="AH31"/>
  <c r="AI31"/>
  <c r="AJ31"/>
  <c r="CX31" s="1"/>
  <c r="W31" s="1"/>
  <c r="CR31"/>
  <c r="Q31" s="1"/>
  <c r="CS31"/>
  <c r="R31" s="1"/>
  <c r="HI31" s="1"/>
  <c r="CT31"/>
  <c r="S31" s="1"/>
  <c r="CU31"/>
  <c r="T31" s="1"/>
  <c r="CV31"/>
  <c r="CW31"/>
  <c r="FR31"/>
  <c r="GL31"/>
  <c r="GO31"/>
  <c r="GP31"/>
  <c r="GV31"/>
  <c r="HC31" s="1"/>
  <c r="GX31" s="1"/>
  <c r="C32"/>
  <c r="D32"/>
  <c r="I32"/>
  <c r="V32" s="1"/>
  <c r="K32"/>
  <c r="AB32"/>
  <c r="AC32"/>
  <c r="CQ32" s="1"/>
  <c r="P32" s="1"/>
  <c r="CP32" s="1"/>
  <c r="O32" s="1"/>
  <c r="AD32"/>
  <c r="AE32"/>
  <c r="AF32"/>
  <c r="AG32"/>
  <c r="AH32"/>
  <c r="AI32"/>
  <c r="AJ32"/>
  <c r="CX32" s="1"/>
  <c r="W32" s="1"/>
  <c r="CR32"/>
  <c r="Q32" s="1"/>
  <c r="CS32"/>
  <c r="R32" s="1"/>
  <c r="HI32" s="1"/>
  <c r="CT32"/>
  <c r="S32" s="1"/>
  <c r="CU32"/>
  <c r="T32" s="1"/>
  <c r="CV32"/>
  <c r="U32" s="1"/>
  <c r="CW32"/>
  <c r="FR32"/>
  <c r="GL32"/>
  <c r="GO32"/>
  <c r="GP32"/>
  <c r="GV32"/>
  <c r="HC32" s="1"/>
  <c r="GX32" s="1"/>
  <c r="C33"/>
  <c r="D33"/>
  <c r="I33"/>
  <c r="K33"/>
  <c r="AB33"/>
  <c r="AC33"/>
  <c r="CQ33" s="1"/>
  <c r="AD33"/>
  <c r="AE33"/>
  <c r="AF33"/>
  <c r="AG33"/>
  <c r="AH33"/>
  <c r="AI33"/>
  <c r="AJ33"/>
  <c r="CX33" s="1"/>
  <c r="CR33"/>
  <c r="Q33" s="1"/>
  <c r="CS33"/>
  <c r="R33" s="1"/>
  <c r="HI33" s="1"/>
  <c r="CT33"/>
  <c r="CU33"/>
  <c r="CV33"/>
  <c r="U33" s="1"/>
  <c r="CW33"/>
  <c r="FR33"/>
  <c r="GL33"/>
  <c r="GO33"/>
  <c r="GP33"/>
  <c r="GV33"/>
  <c r="HC33" s="1"/>
  <c r="GX33" s="1"/>
  <c r="I34"/>
  <c r="K34"/>
  <c r="O34"/>
  <c r="P34"/>
  <c r="Q34"/>
  <c r="R34"/>
  <c r="HI34" s="1"/>
  <c r="S34"/>
  <c r="HJ34" s="1"/>
  <c r="T34"/>
  <c r="U34"/>
  <c r="V34"/>
  <c r="W34"/>
  <c r="X34"/>
  <c r="Y34"/>
  <c r="AB34"/>
  <c r="AC34"/>
  <c r="AD34"/>
  <c r="AE34"/>
  <c r="AF34"/>
  <c r="AG34"/>
  <c r="AH34"/>
  <c r="AI34"/>
  <c r="AJ34"/>
  <c r="CP34"/>
  <c r="FR34"/>
  <c r="GL34"/>
  <c r="GN34"/>
  <c r="GO34"/>
  <c r="GP34"/>
  <c r="GV34"/>
  <c r="GX34"/>
  <c r="I35"/>
  <c r="K35"/>
  <c r="O35"/>
  <c r="P35"/>
  <c r="Q35"/>
  <c r="R35"/>
  <c r="HI35" s="1"/>
  <c r="S35"/>
  <c r="HJ35" s="1"/>
  <c r="T35"/>
  <c r="U35"/>
  <c r="V35"/>
  <c r="W35"/>
  <c r="X35"/>
  <c r="Y35"/>
  <c r="AB35"/>
  <c r="CP35" s="1"/>
  <c r="GM35" s="1"/>
  <c r="HD35" s="1"/>
  <c r="AC35"/>
  <c r="AD35"/>
  <c r="AE35"/>
  <c r="AF35"/>
  <c r="AG35"/>
  <c r="AH35"/>
  <c r="AI35"/>
  <c r="AJ35"/>
  <c r="FR35"/>
  <c r="GL35"/>
  <c r="GO35"/>
  <c r="GP35"/>
  <c r="GV35"/>
  <c r="GX35"/>
  <c r="O36"/>
  <c r="P36"/>
  <c r="Q36"/>
  <c r="R36"/>
  <c r="HI36" s="1"/>
  <c r="S36"/>
  <c r="HJ36" s="1"/>
  <c r="T36"/>
  <c r="U36"/>
  <c r="V36"/>
  <c r="W36"/>
  <c r="X36"/>
  <c r="Y36"/>
  <c r="AB36"/>
  <c r="CP36" s="1"/>
  <c r="AC36"/>
  <c r="AD36"/>
  <c r="AE36"/>
  <c r="AF36"/>
  <c r="AG36"/>
  <c r="AH36"/>
  <c r="AI36"/>
  <c r="AJ36"/>
  <c r="FR36"/>
  <c r="GL36"/>
  <c r="GO36"/>
  <c r="GP36"/>
  <c r="GV36"/>
  <c r="GX36"/>
  <c r="I37"/>
  <c r="K37"/>
  <c r="O37"/>
  <c r="P37"/>
  <c r="Q37"/>
  <c r="R37"/>
  <c r="S37"/>
  <c r="HJ37" s="1"/>
  <c r="T37"/>
  <c r="U37"/>
  <c r="V37"/>
  <c r="W37"/>
  <c r="X37"/>
  <c r="Y37"/>
  <c r="AB37"/>
  <c r="CP37" s="1"/>
  <c r="AC37"/>
  <c r="AD37"/>
  <c r="AE37"/>
  <c r="AF37"/>
  <c r="AG37"/>
  <c r="AH37"/>
  <c r="AI37"/>
  <c r="AJ37"/>
  <c r="FR37"/>
  <c r="GL37"/>
  <c r="GO37"/>
  <c r="GP37"/>
  <c r="GV37"/>
  <c r="GX37"/>
  <c r="HI37"/>
  <c r="C38"/>
  <c r="D38"/>
  <c r="I38"/>
  <c r="CX12" i="3" s="1"/>
  <c r="K38" i="1"/>
  <c r="R38"/>
  <c r="S38"/>
  <c r="U38"/>
  <c r="AC38"/>
  <c r="CQ38" s="1"/>
  <c r="P38" s="1"/>
  <c r="AE38"/>
  <c r="AD38" s="1"/>
  <c r="AF38"/>
  <c r="CT38" s="1"/>
  <c r="AG38"/>
  <c r="CU38" s="1"/>
  <c r="T38" s="1"/>
  <c r="AH38"/>
  <c r="AI38"/>
  <c r="CW38" s="1"/>
  <c r="V38" s="1"/>
  <c r="AJ38"/>
  <c r="CS38"/>
  <c r="CV38"/>
  <c r="CX38"/>
  <c r="W38" s="1"/>
  <c r="CZ38"/>
  <c r="Y38" s="1"/>
  <c r="FR38"/>
  <c r="GL38"/>
  <c r="GO38"/>
  <c r="GP38"/>
  <c r="GV38"/>
  <c r="HC38"/>
  <c r="GX38" s="1"/>
  <c r="HI38"/>
  <c r="C39"/>
  <c r="D39"/>
  <c r="I39"/>
  <c r="CX14" i="3" s="1"/>
  <c r="K39" i="1"/>
  <c r="R39"/>
  <c r="HI39" s="1"/>
  <c r="U39"/>
  <c r="AC39"/>
  <c r="CQ39" s="1"/>
  <c r="P39" s="1"/>
  <c r="AE39"/>
  <c r="AD39" s="1"/>
  <c r="AF39"/>
  <c r="CT39" s="1"/>
  <c r="S39" s="1"/>
  <c r="AG39"/>
  <c r="CU39" s="1"/>
  <c r="T39" s="1"/>
  <c r="AH39"/>
  <c r="AI39"/>
  <c r="AJ39"/>
  <c r="CS39"/>
  <c r="CV39"/>
  <c r="CW39"/>
  <c r="V39" s="1"/>
  <c r="CX39"/>
  <c r="W39" s="1"/>
  <c r="FR39"/>
  <c r="GL39"/>
  <c r="GO39"/>
  <c r="GP39"/>
  <c r="GV39"/>
  <c r="HC39"/>
  <c r="GX39" s="1"/>
  <c r="C40"/>
  <c r="D40"/>
  <c r="T40"/>
  <c r="W40"/>
  <c r="AC40"/>
  <c r="CQ40" s="1"/>
  <c r="P40" s="1"/>
  <c r="AD40"/>
  <c r="CR40" s="1"/>
  <c r="Q40" s="1"/>
  <c r="AE40"/>
  <c r="CS40" s="1"/>
  <c r="R40" s="1"/>
  <c r="HI40" s="1"/>
  <c r="AF40"/>
  <c r="AG40"/>
  <c r="AH40"/>
  <c r="CV40" s="1"/>
  <c r="U40" s="1"/>
  <c r="AI40"/>
  <c r="CW40" s="1"/>
  <c r="V40" s="1"/>
  <c r="AJ40"/>
  <c r="CP40"/>
  <c r="O40" s="1"/>
  <c r="CT40"/>
  <c r="S40" s="1"/>
  <c r="CU40"/>
  <c r="CX40"/>
  <c r="CY40"/>
  <c r="X40" s="1"/>
  <c r="FR40"/>
  <c r="GL40"/>
  <c r="GO40"/>
  <c r="GP40"/>
  <c r="GV40"/>
  <c r="HC40" s="1"/>
  <c r="GX40" s="1"/>
  <c r="HJ40"/>
  <c r="HL40" s="1"/>
  <c r="HK40"/>
  <c r="C41"/>
  <c r="D41"/>
  <c r="V41"/>
  <c r="AC41"/>
  <c r="CQ41" s="1"/>
  <c r="P41" s="1"/>
  <c r="AE41"/>
  <c r="CS41" s="1"/>
  <c r="R41" s="1"/>
  <c r="HI41" s="1"/>
  <c r="AF41"/>
  <c r="CT41" s="1"/>
  <c r="S41" s="1"/>
  <c r="AG41"/>
  <c r="CU41" s="1"/>
  <c r="T41" s="1"/>
  <c r="AH41"/>
  <c r="AI41"/>
  <c r="AJ41"/>
  <c r="CX41" s="1"/>
  <c r="W41" s="1"/>
  <c r="CV41"/>
  <c r="U41" s="1"/>
  <c r="CW41"/>
  <c r="FR41"/>
  <c r="GL41"/>
  <c r="GO41"/>
  <c r="GP41"/>
  <c r="GV41"/>
  <c r="HC41"/>
  <c r="GX41" s="1"/>
  <c r="C42"/>
  <c r="D42"/>
  <c r="AC42"/>
  <c r="AE42"/>
  <c r="CS42" s="1"/>
  <c r="R42" s="1"/>
  <c r="HI42" s="1"/>
  <c r="AF42"/>
  <c r="AG42"/>
  <c r="CU42" s="1"/>
  <c r="T42" s="1"/>
  <c r="AH42"/>
  <c r="CV42" s="1"/>
  <c r="U42" s="1"/>
  <c r="AI42"/>
  <c r="CW42" s="1"/>
  <c r="V42" s="1"/>
  <c r="AJ42"/>
  <c r="CT42"/>
  <c r="S42" s="1"/>
  <c r="CX42"/>
  <c r="W42" s="1"/>
  <c r="FR42"/>
  <c r="GL42"/>
  <c r="GO42"/>
  <c r="GP42"/>
  <c r="GV42"/>
  <c r="HC42"/>
  <c r="GX42" s="1"/>
  <c r="C43"/>
  <c r="D43"/>
  <c r="Q43"/>
  <c r="AC43"/>
  <c r="CQ43" s="1"/>
  <c r="P43" s="1"/>
  <c r="AE43"/>
  <c r="AD43" s="1"/>
  <c r="CR43" s="1"/>
  <c r="AF43"/>
  <c r="AG43"/>
  <c r="CU43" s="1"/>
  <c r="T43" s="1"/>
  <c r="AH43"/>
  <c r="AI43"/>
  <c r="CW43" s="1"/>
  <c r="V43" s="1"/>
  <c r="AJ43"/>
  <c r="CX43" s="1"/>
  <c r="W43" s="1"/>
  <c r="CT43"/>
  <c r="S43" s="1"/>
  <c r="CV43"/>
  <c r="U43" s="1"/>
  <c r="FR43"/>
  <c r="GL43"/>
  <c r="GO43"/>
  <c r="GP43"/>
  <c r="GV43"/>
  <c r="HC43" s="1"/>
  <c r="GX43"/>
  <c r="C44"/>
  <c r="D44"/>
  <c r="P44"/>
  <c r="S44"/>
  <c r="AC44"/>
  <c r="AB44" s="1"/>
  <c r="AD44"/>
  <c r="CR44" s="1"/>
  <c r="Q44" s="1"/>
  <c r="AE44"/>
  <c r="CS44" s="1"/>
  <c r="R44" s="1"/>
  <c r="AF44"/>
  <c r="AG44"/>
  <c r="CU44" s="1"/>
  <c r="T44" s="1"/>
  <c r="AH44"/>
  <c r="AI44"/>
  <c r="AJ44"/>
  <c r="CQ44"/>
  <c r="CT44"/>
  <c r="CV44"/>
  <c r="U44" s="1"/>
  <c r="CW44"/>
  <c r="V44" s="1"/>
  <c r="CX44"/>
  <c r="W44" s="1"/>
  <c r="FR44"/>
  <c r="GL44"/>
  <c r="GO44"/>
  <c r="GP44"/>
  <c r="GV44"/>
  <c r="HC44" s="1"/>
  <c r="GX44"/>
  <c r="HI44"/>
  <c r="C45"/>
  <c r="D45"/>
  <c r="S45"/>
  <c r="U45"/>
  <c r="AC45"/>
  <c r="CQ45" s="1"/>
  <c r="P45" s="1"/>
  <c r="AE45"/>
  <c r="AD45" s="1"/>
  <c r="AF45"/>
  <c r="CT45" s="1"/>
  <c r="AG45"/>
  <c r="CU45" s="1"/>
  <c r="T45" s="1"/>
  <c r="AH45"/>
  <c r="AI45"/>
  <c r="CW45" s="1"/>
  <c r="V45" s="1"/>
  <c r="AJ45"/>
  <c r="CV45"/>
  <c r="CX45"/>
  <c r="W45" s="1"/>
  <c r="FR45"/>
  <c r="GL45"/>
  <c r="GO45"/>
  <c r="GP45"/>
  <c r="GV45"/>
  <c r="HC45"/>
  <c r="GX45" s="1"/>
  <c r="C46"/>
  <c r="D46"/>
  <c r="I46"/>
  <c r="CX29" i="3" s="1"/>
  <c r="K46" i="1"/>
  <c r="R46"/>
  <c r="HI46" s="1"/>
  <c r="S46"/>
  <c r="U46"/>
  <c r="AC46"/>
  <c r="CQ46" s="1"/>
  <c r="P46" s="1"/>
  <c r="AE46"/>
  <c r="AD46" s="1"/>
  <c r="AF46"/>
  <c r="CT46" s="1"/>
  <c r="AG46"/>
  <c r="CU46" s="1"/>
  <c r="T46" s="1"/>
  <c r="AH46"/>
  <c r="AI46"/>
  <c r="CW46" s="1"/>
  <c r="V46" s="1"/>
  <c r="AJ46"/>
  <c r="CS46"/>
  <c r="CV46"/>
  <c r="CX46"/>
  <c r="W46" s="1"/>
  <c r="FR46"/>
  <c r="GL46"/>
  <c r="GO46"/>
  <c r="GP46"/>
  <c r="GV46"/>
  <c r="HC46"/>
  <c r="GX46" s="1"/>
  <c r="C47"/>
  <c r="D47"/>
  <c r="I47"/>
  <c r="CX31" i="3" s="1"/>
  <c r="K47" i="1"/>
  <c r="AB47"/>
  <c r="AC47"/>
  <c r="CQ47" s="1"/>
  <c r="P47" s="1"/>
  <c r="AE47"/>
  <c r="AD47" s="1"/>
  <c r="CR47" s="1"/>
  <c r="Q47" s="1"/>
  <c r="AF47"/>
  <c r="CT47" s="1"/>
  <c r="S47" s="1"/>
  <c r="AG47"/>
  <c r="CU47" s="1"/>
  <c r="T47" s="1"/>
  <c r="AH47"/>
  <c r="AI47"/>
  <c r="AJ47"/>
  <c r="CS47"/>
  <c r="R47" s="1"/>
  <c r="HI47" s="1"/>
  <c r="CV47"/>
  <c r="U47" s="1"/>
  <c r="CW47"/>
  <c r="V47" s="1"/>
  <c r="CX47"/>
  <c r="W47" s="1"/>
  <c r="FR47"/>
  <c r="GL47"/>
  <c r="GO47"/>
  <c r="GP47"/>
  <c r="GV47"/>
  <c r="HC47"/>
  <c r="GX47" s="1"/>
  <c r="C48"/>
  <c r="D48"/>
  <c r="I48"/>
  <c r="K48"/>
  <c r="R48"/>
  <c r="AC48"/>
  <c r="CQ48" s="1"/>
  <c r="P48" s="1"/>
  <c r="AD48"/>
  <c r="CR48" s="1"/>
  <c r="Q48" s="1"/>
  <c r="AE48"/>
  <c r="AF48"/>
  <c r="CT48" s="1"/>
  <c r="S48" s="1"/>
  <c r="AG48"/>
  <c r="CU48" s="1"/>
  <c r="T48" s="1"/>
  <c r="AH48"/>
  <c r="AI48"/>
  <c r="CW48" s="1"/>
  <c r="V48" s="1"/>
  <c r="AJ48"/>
  <c r="CS48"/>
  <c r="CV48"/>
  <c r="U48" s="1"/>
  <c r="CX48"/>
  <c r="W48" s="1"/>
  <c r="FR48"/>
  <c r="GL48"/>
  <c r="GO48"/>
  <c r="GP48"/>
  <c r="GV48"/>
  <c r="HC48"/>
  <c r="GX48" s="1"/>
  <c r="HI48"/>
  <c r="C49"/>
  <c r="D49"/>
  <c r="I49"/>
  <c r="K49"/>
  <c r="R49"/>
  <c r="V49"/>
  <c r="AC49"/>
  <c r="AE49"/>
  <c r="AD49" s="1"/>
  <c r="AF49"/>
  <c r="CT49" s="1"/>
  <c r="S49" s="1"/>
  <c r="AG49"/>
  <c r="CU49" s="1"/>
  <c r="T49" s="1"/>
  <c r="AH49"/>
  <c r="AI49"/>
  <c r="AJ49"/>
  <c r="CQ49"/>
  <c r="P49" s="1"/>
  <c r="CS49"/>
  <c r="CV49"/>
  <c r="U49" s="1"/>
  <c r="CW49"/>
  <c r="CX49"/>
  <c r="W49" s="1"/>
  <c r="FR49"/>
  <c r="GL49"/>
  <c r="GO49"/>
  <c r="GP49"/>
  <c r="GV49"/>
  <c r="HC49"/>
  <c r="GX49" s="1"/>
  <c r="HI49"/>
  <c r="C50"/>
  <c r="D50"/>
  <c r="I50"/>
  <c r="K50"/>
  <c r="R50"/>
  <c r="V50"/>
  <c r="AC50"/>
  <c r="AE50"/>
  <c r="AD50" s="1"/>
  <c r="AF50"/>
  <c r="CT50" s="1"/>
  <c r="S50" s="1"/>
  <c r="AG50"/>
  <c r="CU50" s="1"/>
  <c r="T50" s="1"/>
  <c r="AH50"/>
  <c r="AI50"/>
  <c r="AJ50"/>
  <c r="CQ50"/>
  <c r="P50" s="1"/>
  <c r="CS50"/>
  <c r="CV50"/>
  <c r="U50" s="1"/>
  <c r="CW50"/>
  <c r="CX50"/>
  <c r="W50" s="1"/>
  <c r="FR50"/>
  <c r="GL50"/>
  <c r="GO50"/>
  <c r="GP50"/>
  <c r="GV50"/>
  <c r="HC50"/>
  <c r="GX50" s="1"/>
  <c r="HI50"/>
  <c r="C51"/>
  <c r="D51"/>
  <c r="I51"/>
  <c r="K51"/>
  <c r="R51"/>
  <c r="V51"/>
  <c r="AC51"/>
  <c r="AE51"/>
  <c r="AD51" s="1"/>
  <c r="AF51"/>
  <c r="CT51" s="1"/>
  <c r="S51" s="1"/>
  <c r="AG51"/>
  <c r="CU51" s="1"/>
  <c r="T51" s="1"/>
  <c r="AH51"/>
  <c r="AI51"/>
  <c r="AJ51"/>
  <c r="CQ51"/>
  <c r="P51" s="1"/>
  <c r="CS51"/>
  <c r="CV51"/>
  <c r="U51" s="1"/>
  <c r="CW51"/>
  <c r="CX51"/>
  <c r="W51" s="1"/>
  <c r="FR51"/>
  <c r="GL51"/>
  <c r="GO51"/>
  <c r="GP51"/>
  <c r="GV51"/>
  <c r="HC51"/>
  <c r="GX51" s="1"/>
  <c r="HI51"/>
  <c r="C52"/>
  <c r="D52"/>
  <c r="I52"/>
  <c r="K52"/>
  <c r="R52"/>
  <c r="V52"/>
  <c r="AC52"/>
  <c r="AE52"/>
  <c r="AD52" s="1"/>
  <c r="AF52"/>
  <c r="CT52" s="1"/>
  <c r="S52" s="1"/>
  <c r="AG52"/>
  <c r="CU52" s="1"/>
  <c r="T52" s="1"/>
  <c r="AH52"/>
  <c r="AI52"/>
  <c r="AJ52"/>
  <c r="CQ52"/>
  <c r="P52" s="1"/>
  <c r="CS52"/>
  <c r="CV52"/>
  <c r="U52" s="1"/>
  <c r="CW52"/>
  <c r="CX52"/>
  <c r="W52" s="1"/>
  <c r="FR52"/>
  <c r="GL52"/>
  <c r="GO52"/>
  <c r="GP52"/>
  <c r="GV52"/>
  <c r="HC52"/>
  <c r="GX52" s="1"/>
  <c r="HI52"/>
  <c r="C53"/>
  <c r="D53"/>
  <c r="I53"/>
  <c r="K53"/>
  <c r="R53"/>
  <c r="V53"/>
  <c r="AC53"/>
  <c r="AE53"/>
  <c r="AD53" s="1"/>
  <c r="AF53"/>
  <c r="CT53" s="1"/>
  <c r="S53" s="1"/>
  <c r="AG53"/>
  <c r="CU53" s="1"/>
  <c r="T53" s="1"/>
  <c r="AH53"/>
  <c r="AI53"/>
  <c r="AJ53"/>
  <c r="CQ53"/>
  <c r="P53" s="1"/>
  <c r="CS53"/>
  <c r="CV53"/>
  <c r="U53" s="1"/>
  <c r="CW53"/>
  <c r="CX53"/>
  <c r="W53" s="1"/>
  <c r="FR53"/>
  <c r="GL53"/>
  <c r="GO53"/>
  <c r="GP53"/>
  <c r="GV53"/>
  <c r="HC53"/>
  <c r="GX53" s="1"/>
  <c r="HI53"/>
  <c r="O54"/>
  <c r="P54"/>
  <c r="Q54"/>
  <c r="R54"/>
  <c r="HI54" s="1"/>
  <c r="S54"/>
  <c r="T54"/>
  <c r="U54"/>
  <c r="V54"/>
  <c r="W54"/>
  <c r="X54"/>
  <c r="Y54"/>
  <c r="AB54"/>
  <c r="AC54"/>
  <c r="AD54"/>
  <c r="AE54"/>
  <c r="AF54"/>
  <c r="AG54"/>
  <c r="AH54"/>
  <c r="AI54"/>
  <c r="AJ54"/>
  <c r="CP54"/>
  <c r="GM54" s="1"/>
  <c r="HD54" s="1"/>
  <c r="FR54"/>
  <c r="GL54"/>
  <c r="GO54"/>
  <c r="GP54"/>
  <c r="GV54"/>
  <c r="GX54"/>
  <c r="HJ54"/>
  <c r="O55"/>
  <c r="P55"/>
  <c r="Q55"/>
  <c r="R55"/>
  <c r="HI55" s="1"/>
  <c r="S55"/>
  <c r="HJ55" s="1"/>
  <c r="T55"/>
  <c r="U55"/>
  <c r="V55"/>
  <c r="W55"/>
  <c r="X55"/>
  <c r="Y55"/>
  <c r="AB55"/>
  <c r="CP55" s="1"/>
  <c r="AC55"/>
  <c r="AD55"/>
  <c r="AE55"/>
  <c r="AF55"/>
  <c r="AG55"/>
  <c r="AH55"/>
  <c r="AI55"/>
  <c r="AJ55"/>
  <c r="FR55"/>
  <c r="GL55"/>
  <c r="GO55"/>
  <c r="GP55"/>
  <c r="GV55"/>
  <c r="GX55"/>
  <c r="O56"/>
  <c r="P56"/>
  <c r="Q56"/>
  <c r="R56"/>
  <c r="HI56" s="1"/>
  <c r="S56"/>
  <c r="HJ56" s="1"/>
  <c r="T56"/>
  <c r="U56"/>
  <c r="V56"/>
  <c r="W56"/>
  <c r="X56"/>
  <c r="Y56"/>
  <c r="AB56"/>
  <c r="AC56"/>
  <c r="AD56"/>
  <c r="AE56"/>
  <c r="AF56"/>
  <c r="AG56"/>
  <c r="AH56"/>
  <c r="AI56"/>
  <c r="AJ56"/>
  <c r="CP56"/>
  <c r="GN56" s="1"/>
  <c r="FR56"/>
  <c r="GL56"/>
  <c r="GO56"/>
  <c r="GP56"/>
  <c r="GV56"/>
  <c r="GX56"/>
  <c r="O57"/>
  <c r="P57"/>
  <c r="Q57"/>
  <c r="R57"/>
  <c r="HI57" s="1"/>
  <c r="S57"/>
  <c r="T57"/>
  <c r="U57"/>
  <c r="V57"/>
  <c r="W57"/>
  <c r="X57"/>
  <c r="Y57"/>
  <c r="AB57"/>
  <c r="AC57"/>
  <c r="AD57"/>
  <c r="AE57"/>
  <c r="AF57"/>
  <c r="AG57"/>
  <c r="AH57"/>
  <c r="AI57"/>
  <c r="AJ57"/>
  <c r="CP57"/>
  <c r="GM57" s="1"/>
  <c r="HD57" s="1"/>
  <c r="FR57"/>
  <c r="GL57"/>
  <c r="GO57"/>
  <c r="GP57"/>
  <c r="GV57"/>
  <c r="GX57"/>
  <c r="HJ57"/>
  <c r="C58"/>
  <c r="D58"/>
  <c r="I58"/>
  <c r="CX51" i="3" s="1"/>
  <c r="K58" i="1"/>
  <c r="V58"/>
  <c r="AC58"/>
  <c r="CQ58" s="1"/>
  <c r="P58" s="1"/>
  <c r="AE58"/>
  <c r="AD58" s="1"/>
  <c r="AF58"/>
  <c r="AG58"/>
  <c r="AH58"/>
  <c r="AI58"/>
  <c r="AJ58"/>
  <c r="CX58" s="1"/>
  <c r="W58" s="1"/>
  <c r="CS58"/>
  <c r="R58" s="1"/>
  <c r="HI58" s="1"/>
  <c r="CT58"/>
  <c r="S58" s="1"/>
  <c r="CU58"/>
  <c r="T58" s="1"/>
  <c r="CV58"/>
  <c r="U58" s="1"/>
  <c r="CW58"/>
  <c r="FR58"/>
  <c r="GL58"/>
  <c r="GO58"/>
  <c r="GP58"/>
  <c r="GV58"/>
  <c r="GX58"/>
  <c r="HC58"/>
  <c r="C59"/>
  <c r="D59"/>
  <c r="I59"/>
  <c r="CX52" i="3" s="1"/>
  <c r="K59" i="1"/>
  <c r="V59"/>
  <c r="AC59"/>
  <c r="CQ59" s="1"/>
  <c r="P59" s="1"/>
  <c r="AE59"/>
  <c r="AD59" s="1"/>
  <c r="AF59"/>
  <c r="AG59"/>
  <c r="AH59"/>
  <c r="AI59"/>
  <c r="AJ59"/>
  <c r="CX59" s="1"/>
  <c r="W59" s="1"/>
  <c r="CS59"/>
  <c r="R59" s="1"/>
  <c r="HI59" s="1"/>
  <c r="CT59"/>
  <c r="S59" s="1"/>
  <c r="CU59"/>
  <c r="T59" s="1"/>
  <c r="CV59"/>
  <c r="U59" s="1"/>
  <c r="CW59"/>
  <c r="FR59"/>
  <c r="GL59"/>
  <c r="GO59"/>
  <c r="GP59"/>
  <c r="GV59"/>
  <c r="GX59"/>
  <c r="HC59"/>
  <c r="C60"/>
  <c r="D60"/>
  <c r="P60"/>
  <c r="CP60" s="1"/>
  <c r="O60" s="1"/>
  <c r="AC60"/>
  <c r="AB60" s="1"/>
  <c r="AD60"/>
  <c r="AE60"/>
  <c r="CS60" s="1"/>
  <c r="R60" s="1"/>
  <c r="AF60"/>
  <c r="CT60" s="1"/>
  <c r="S60" s="1"/>
  <c r="AG60"/>
  <c r="AH60"/>
  <c r="AI60"/>
  <c r="AJ60"/>
  <c r="CQ60"/>
  <c r="CR60"/>
  <c r="Q60" s="1"/>
  <c r="CU60"/>
  <c r="T60" s="1"/>
  <c r="CV60"/>
  <c r="U60" s="1"/>
  <c r="CW60"/>
  <c r="V60" s="1"/>
  <c r="CX60"/>
  <c r="W60" s="1"/>
  <c r="FR60"/>
  <c r="GL60"/>
  <c r="GO60"/>
  <c r="GP60"/>
  <c r="GV60"/>
  <c r="HC60" s="1"/>
  <c r="GX60" s="1"/>
  <c r="CJ69" s="1"/>
  <c r="C61"/>
  <c r="D61"/>
  <c r="R61"/>
  <c r="HI61" s="1"/>
  <c r="AC61"/>
  <c r="CQ61" s="1"/>
  <c r="P61" s="1"/>
  <c r="AE61"/>
  <c r="AD61" s="1"/>
  <c r="CR61" s="1"/>
  <c r="Q61" s="1"/>
  <c r="AF61"/>
  <c r="AG61"/>
  <c r="CU61" s="1"/>
  <c r="T61" s="1"/>
  <c r="AH61"/>
  <c r="CV61" s="1"/>
  <c r="U61" s="1"/>
  <c r="DZ69" s="1"/>
  <c r="AI61"/>
  <c r="AJ61"/>
  <c r="CS61"/>
  <c r="CT61"/>
  <c r="S61" s="1"/>
  <c r="CW61"/>
  <c r="V61" s="1"/>
  <c r="CX61"/>
  <c r="W61" s="1"/>
  <c r="FR61"/>
  <c r="GL61"/>
  <c r="GO61"/>
  <c r="GP61"/>
  <c r="GV61"/>
  <c r="HC61"/>
  <c r="GX61" s="1"/>
  <c r="GB69" s="1"/>
  <c r="C62"/>
  <c r="D62"/>
  <c r="P62"/>
  <c r="T62"/>
  <c r="AC62"/>
  <c r="AE62"/>
  <c r="CS62" s="1"/>
  <c r="R62" s="1"/>
  <c r="HI62" s="1"/>
  <c r="AF62"/>
  <c r="AG62"/>
  <c r="AH62"/>
  <c r="AI62"/>
  <c r="CW62" s="1"/>
  <c r="V62" s="1"/>
  <c r="AJ62"/>
  <c r="CX62" s="1"/>
  <c r="W62" s="1"/>
  <c r="CQ62"/>
  <c r="CT62"/>
  <c r="S62" s="1"/>
  <c r="CU62"/>
  <c r="CV62"/>
  <c r="U62" s="1"/>
  <c r="FR62"/>
  <c r="GL62"/>
  <c r="GO62"/>
  <c r="GP62"/>
  <c r="GV62"/>
  <c r="HC62" s="1"/>
  <c r="GX62" s="1"/>
  <c r="C63"/>
  <c r="D63"/>
  <c r="R63"/>
  <c r="V63"/>
  <c r="AC63"/>
  <c r="AE63"/>
  <c r="AD63" s="1"/>
  <c r="AF63"/>
  <c r="CT63" s="1"/>
  <c r="S63" s="1"/>
  <c r="AG63"/>
  <c r="CU63" s="1"/>
  <c r="T63" s="1"/>
  <c r="AH63"/>
  <c r="AI63"/>
  <c r="AJ63"/>
  <c r="CQ63"/>
  <c r="P63" s="1"/>
  <c r="CS63"/>
  <c r="CV63"/>
  <c r="U63" s="1"/>
  <c r="CW63"/>
  <c r="CX63"/>
  <c r="W63" s="1"/>
  <c r="FR63"/>
  <c r="GL63"/>
  <c r="GO63"/>
  <c r="GP63"/>
  <c r="GV63"/>
  <c r="HC63"/>
  <c r="GX63" s="1"/>
  <c r="HI63"/>
  <c r="C64"/>
  <c r="D64"/>
  <c r="T64"/>
  <c r="AC64"/>
  <c r="AB64" s="1"/>
  <c r="AD64"/>
  <c r="AE64"/>
  <c r="AF64"/>
  <c r="AG64"/>
  <c r="AH64"/>
  <c r="CV64" s="1"/>
  <c r="U64" s="1"/>
  <c r="AI64"/>
  <c r="CW64" s="1"/>
  <c r="V64" s="1"/>
  <c r="AJ64"/>
  <c r="CQ64"/>
  <c r="P64" s="1"/>
  <c r="CR64"/>
  <c r="Q64" s="1"/>
  <c r="CS64"/>
  <c r="R64" s="1"/>
  <c r="HI64" s="1"/>
  <c r="CT64"/>
  <c r="S64" s="1"/>
  <c r="CU64"/>
  <c r="CX64"/>
  <c r="W64" s="1"/>
  <c r="FR64"/>
  <c r="GL64"/>
  <c r="GO64"/>
  <c r="GP64"/>
  <c r="GV64"/>
  <c r="HC64" s="1"/>
  <c r="GX64" s="1"/>
  <c r="C65"/>
  <c r="D65"/>
  <c r="V65"/>
  <c r="AC65"/>
  <c r="CQ65" s="1"/>
  <c r="P65" s="1"/>
  <c r="AE65"/>
  <c r="AD65" s="1"/>
  <c r="AF65"/>
  <c r="AG65"/>
  <c r="AH65"/>
  <c r="AI65"/>
  <c r="AJ65"/>
  <c r="CX65" s="1"/>
  <c r="W65" s="1"/>
  <c r="CS65"/>
  <c r="R65" s="1"/>
  <c r="HI65" s="1"/>
  <c r="CT65"/>
  <c r="S65" s="1"/>
  <c r="CU65"/>
  <c r="T65" s="1"/>
  <c r="CV65"/>
  <c r="U65" s="1"/>
  <c r="CW65"/>
  <c r="FR65"/>
  <c r="GL65"/>
  <c r="GO65"/>
  <c r="GP65"/>
  <c r="GV65"/>
  <c r="GX65"/>
  <c r="HC65"/>
  <c r="I66"/>
  <c r="K66"/>
  <c r="O66"/>
  <c r="P66"/>
  <c r="Q66"/>
  <c r="R66"/>
  <c r="S66"/>
  <c r="HJ66" s="1"/>
  <c r="T66"/>
  <c r="U66"/>
  <c r="V66"/>
  <c r="W66"/>
  <c r="X66"/>
  <c r="Y66"/>
  <c r="AB66"/>
  <c r="CP66" s="1"/>
  <c r="AC66"/>
  <c r="AD66"/>
  <c r="AE66"/>
  <c r="AF66"/>
  <c r="AG66"/>
  <c r="AH66"/>
  <c r="AI66"/>
  <c r="AJ66"/>
  <c r="FR66"/>
  <c r="GL66"/>
  <c r="GO66"/>
  <c r="GP66"/>
  <c r="GV66"/>
  <c r="GX66"/>
  <c r="HI66"/>
  <c r="I67"/>
  <c r="K67"/>
  <c r="O67"/>
  <c r="P67"/>
  <c r="Q67"/>
  <c r="R67"/>
  <c r="HI67" s="1"/>
  <c r="S67"/>
  <c r="HJ67" s="1"/>
  <c r="T67"/>
  <c r="U67"/>
  <c r="V67"/>
  <c r="W67"/>
  <c r="X67"/>
  <c r="Y67"/>
  <c r="AB67"/>
  <c r="CP67" s="1"/>
  <c r="AC67"/>
  <c r="AD67"/>
  <c r="AE67"/>
  <c r="AF67"/>
  <c r="AG67"/>
  <c r="AH67"/>
  <c r="AI67"/>
  <c r="AJ67"/>
  <c r="FR67"/>
  <c r="GL67"/>
  <c r="GO67"/>
  <c r="GP67"/>
  <c r="GV67"/>
  <c r="GX67"/>
  <c r="B69"/>
  <c r="B22" s="1"/>
  <c r="C69"/>
  <c r="C22" s="1"/>
  <c r="D69"/>
  <c r="D22" s="1"/>
  <c r="F69"/>
  <c r="F22" s="1"/>
  <c r="G69"/>
  <c r="G22" s="1"/>
  <c r="BX69"/>
  <c r="BX22" s="1"/>
  <c r="BY69"/>
  <c r="BY22" s="1"/>
  <c r="BZ69"/>
  <c r="BZ22" s="1"/>
  <c r="CC69"/>
  <c r="CC22" s="1"/>
  <c r="CD69"/>
  <c r="CD22" s="1"/>
  <c r="CK69"/>
  <c r="CK22" s="1"/>
  <c r="CL69"/>
  <c r="CL22" s="1"/>
  <c r="ER69"/>
  <c r="ER22" s="1"/>
  <c r="FP69"/>
  <c r="FP22" s="1"/>
  <c r="FQ69"/>
  <c r="FQ22" s="1"/>
  <c r="FR69"/>
  <c r="FR22" s="1"/>
  <c r="FU69"/>
  <c r="FU22" s="1"/>
  <c r="FV69"/>
  <c r="FV22" s="1"/>
  <c r="GA69"/>
  <c r="GA22" s="1"/>
  <c r="GC69"/>
  <c r="GC22" s="1"/>
  <c r="GD69"/>
  <c r="GD22" s="1"/>
  <c r="B102"/>
  <c r="B18" s="1"/>
  <c r="C102"/>
  <c r="C18" s="1"/>
  <c r="D102"/>
  <c r="D18" s="1"/>
  <c r="F102"/>
  <c r="F18" s="1"/>
  <c r="G102"/>
  <c r="G18" s="1"/>
  <c r="F137"/>
  <c r="P137"/>
  <c r="E18" i="2"/>
  <c r="F18"/>
  <c r="G18"/>
  <c r="H18"/>
  <c r="I18"/>
  <c r="J18"/>
  <c r="T18"/>
  <c r="U18"/>
  <c r="V18"/>
  <c r="W18"/>
  <c r="X18"/>
  <c r="Y18"/>
  <c r="C37" i="5" l="1"/>
  <c r="C34" s="1"/>
  <c r="D34"/>
  <c r="D37"/>
  <c r="J53"/>
  <c r="J111"/>
  <c r="J107"/>
  <c r="J105" s="1"/>
  <c r="J119" s="1"/>
  <c r="J36"/>
  <c r="GB22" i="1"/>
  <c r="ES69"/>
  <c r="DZ22"/>
  <c r="DM69"/>
  <c r="AE69"/>
  <c r="HI60"/>
  <c r="CR53"/>
  <c r="Q53" s="1"/>
  <c r="CP53" s="1"/>
  <c r="O53" s="1"/>
  <c r="AB53"/>
  <c r="CY52"/>
  <c r="X52" s="1"/>
  <c r="HJ52"/>
  <c r="CZ52"/>
  <c r="Y52" s="1"/>
  <c r="AJ69"/>
  <c r="CR52"/>
  <c r="Q52" s="1"/>
  <c r="AB52"/>
  <c r="CY51"/>
  <c r="X51" s="1"/>
  <c r="HJ51"/>
  <c r="CZ51"/>
  <c r="Y51" s="1"/>
  <c r="CY47"/>
  <c r="X47" s="1"/>
  <c r="HJ47"/>
  <c r="CZ47"/>
  <c r="Y47" s="1"/>
  <c r="GM67"/>
  <c r="HD67" s="1"/>
  <c r="GN67"/>
  <c r="CR65"/>
  <c r="Q65" s="1"/>
  <c r="AB65"/>
  <c r="CY64"/>
  <c r="X64" s="1"/>
  <c r="HJ64"/>
  <c r="CZ64"/>
  <c r="Y64" s="1"/>
  <c r="CR51"/>
  <c r="Q51" s="1"/>
  <c r="AB51"/>
  <c r="CY50"/>
  <c r="X50" s="1"/>
  <c r="HJ50"/>
  <c r="CZ50"/>
  <c r="Y50" s="1"/>
  <c r="CY48"/>
  <c r="X48" s="1"/>
  <c r="HJ48"/>
  <c r="CZ48"/>
  <c r="Y48" s="1"/>
  <c r="GM55"/>
  <c r="HD55" s="1"/>
  <c r="GN55"/>
  <c r="CR50"/>
  <c r="Q50" s="1"/>
  <c r="AB50"/>
  <c r="CY49"/>
  <c r="X49" s="1"/>
  <c r="HJ49"/>
  <c r="CZ49"/>
  <c r="Y49" s="1"/>
  <c r="CP61"/>
  <c r="O61" s="1"/>
  <c r="CY59"/>
  <c r="X59" s="1"/>
  <c r="HJ59"/>
  <c r="CZ59"/>
  <c r="Y59" s="1"/>
  <c r="CY58"/>
  <c r="X58" s="1"/>
  <c r="HJ58"/>
  <c r="CZ58"/>
  <c r="Y58" s="1"/>
  <c r="CR49"/>
  <c r="Q49" s="1"/>
  <c r="AB49"/>
  <c r="CP65"/>
  <c r="O65" s="1"/>
  <c r="CP64"/>
  <c r="O64" s="1"/>
  <c r="CP48"/>
  <c r="O48" s="1"/>
  <c r="AG69"/>
  <c r="GM66"/>
  <c r="HD66" s="1"/>
  <c r="GN66"/>
  <c r="CY65"/>
  <c r="X65" s="1"/>
  <c r="HJ65"/>
  <c r="CZ65"/>
  <c r="Y65" s="1"/>
  <c r="CP52"/>
  <c r="O52" s="1"/>
  <c r="CY61"/>
  <c r="X61" s="1"/>
  <c r="HJ61"/>
  <c r="CZ61"/>
  <c r="Y61" s="1"/>
  <c r="CJ22"/>
  <c r="BA69"/>
  <c r="CP51"/>
  <c r="O51" s="1"/>
  <c r="CY63"/>
  <c r="X63" s="1"/>
  <c r="HJ63"/>
  <c r="CZ63"/>
  <c r="Y63" s="1"/>
  <c r="CP50"/>
  <c r="O50" s="1"/>
  <c r="CR63"/>
  <c r="Q63" s="1"/>
  <c r="CP63" s="1"/>
  <c r="O63" s="1"/>
  <c r="AB63"/>
  <c r="CP49"/>
  <c r="O49" s="1"/>
  <c r="CY39"/>
  <c r="X39" s="1"/>
  <c r="HJ39"/>
  <c r="CZ39"/>
  <c r="Y39" s="1"/>
  <c r="CY62"/>
  <c r="X62" s="1"/>
  <c r="HJ62"/>
  <c r="CZ62"/>
  <c r="Y62" s="1"/>
  <c r="CZ60"/>
  <c r="Y60" s="1"/>
  <c r="AF69"/>
  <c r="CY60"/>
  <c r="X60" s="1"/>
  <c r="GM60" s="1"/>
  <c r="HJ60"/>
  <c r="CR59"/>
  <c r="Q59" s="1"/>
  <c r="CP59" s="1"/>
  <c r="O59" s="1"/>
  <c r="AB59"/>
  <c r="CR58"/>
  <c r="Q58" s="1"/>
  <c r="CP58" s="1"/>
  <c r="O58" s="1"/>
  <c r="AB58"/>
  <c r="CY53"/>
  <c r="X53" s="1"/>
  <c r="HJ53"/>
  <c r="CZ53"/>
  <c r="Y53" s="1"/>
  <c r="ER102"/>
  <c r="EU69"/>
  <c r="EI69"/>
  <c r="GM56"/>
  <c r="HD56" s="1"/>
  <c r="FY69"/>
  <c r="ET69"/>
  <c r="EH69"/>
  <c r="CX48" i="3"/>
  <c r="CX50"/>
  <c r="CX49"/>
  <c r="CX46"/>
  <c r="CX45"/>
  <c r="CX47"/>
  <c r="CX43"/>
  <c r="CX42"/>
  <c r="CX44"/>
  <c r="CX41"/>
  <c r="CX40"/>
  <c r="CX39"/>
  <c r="CX36"/>
  <c r="CX38"/>
  <c r="CX37"/>
  <c r="CZ46" i="1"/>
  <c r="Y46" s="1"/>
  <c r="CR45"/>
  <c r="Q45" s="1"/>
  <c r="AB45"/>
  <c r="CP43"/>
  <c r="O43" s="1"/>
  <c r="EG69"/>
  <c r="AU69"/>
  <c r="CY46"/>
  <c r="X46" s="1"/>
  <c r="HJ46"/>
  <c r="CP45"/>
  <c r="O45" s="1"/>
  <c r="AB43"/>
  <c r="CZ40"/>
  <c r="Y40" s="1"/>
  <c r="GN35"/>
  <c r="AT69"/>
  <c r="GN57"/>
  <c r="GN54"/>
  <c r="CR39"/>
  <c r="Q39" s="1"/>
  <c r="AB39"/>
  <c r="HJ45"/>
  <c r="CZ42"/>
  <c r="Y42" s="1"/>
  <c r="CY42"/>
  <c r="X42" s="1"/>
  <c r="HJ42"/>
  <c r="CY24"/>
  <c r="X24" s="1"/>
  <c r="HJ24"/>
  <c r="CZ24"/>
  <c r="Y24" s="1"/>
  <c r="CI69"/>
  <c r="CX34" i="3"/>
  <c r="CX33"/>
  <c r="CX35"/>
  <c r="CY44" i="1"/>
  <c r="X44" s="1"/>
  <c r="HJ44"/>
  <c r="CZ44"/>
  <c r="Y44" s="1"/>
  <c r="HJ43"/>
  <c r="CZ43"/>
  <c r="Y43" s="1"/>
  <c r="T33"/>
  <c r="DY69" s="1"/>
  <c r="P33"/>
  <c r="BC69"/>
  <c r="AQ69"/>
  <c r="CP47"/>
  <c r="O47" s="1"/>
  <c r="CS43"/>
  <c r="R43" s="1"/>
  <c r="CQ42"/>
  <c r="P42" s="1"/>
  <c r="CR38"/>
  <c r="Q38" s="1"/>
  <c r="AB38"/>
  <c r="GN37"/>
  <c r="GM37"/>
  <c r="HD37" s="1"/>
  <c r="GE69" s="1"/>
  <c r="S33"/>
  <c r="CG69"/>
  <c r="BB69"/>
  <c r="AP69"/>
  <c r="CP44"/>
  <c r="O44" s="1"/>
  <c r="GM40"/>
  <c r="GN40"/>
  <c r="CP38"/>
  <c r="O38" s="1"/>
  <c r="GN30"/>
  <c r="CP24"/>
  <c r="O24" s="1"/>
  <c r="EM69"/>
  <c r="AO69"/>
  <c r="AD62"/>
  <c r="CR62" s="1"/>
  <c r="Q62" s="1"/>
  <c r="CP62" s="1"/>
  <c r="O62" s="1"/>
  <c r="AB61"/>
  <c r="AB48"/>
  <c r="I36"/>
  <c r="GN36" s="1"/>
  <c r="K36"/>
  <c r="EL69"/>
  <c r="CY38"/>
  <c r="X38" s="1"/>
  <c r="HJ38"/>
  <c r="CX10" i="3"/>
  <c r="V33" i="1"/>
  <c r="CY32"/>
  <c r="X32" s="1"/>
  <c r="GM32" s="1"/>
  <c r="HJ32"/>
  <c r="CZ32"/>
  <c r="Y32" s="1"/>
  <c r="CY31"/>
  <c r="X31" s="1"/>
  <c r="GM31" s="1"/>
  <c r="HJ31"/>
  <c r="CZ31"/>
  <c r="Y31" s="1"/>
  <c r="CY30"/>
  <c r="X30" s="1"/>
  <c r="GM30" s="1"/>
  <c r="HJ30"/>
  <c r="CZ30"/>
  <c r="Y30" s="1"/>
  <c r="CY29"/>
  <c r="X29" s="1"/>
  <c r="GM29" s="1"/>
  <c r="HJ29"/>
  <c r="CZ29"/>
  <c r="Y29" s="1"/>
  <c r="CY28"/>
  <c r="X28" s="1"/>
  <c r="GM28" s="1"/>
  <c r="HJ28"/>
  <c r="CZ28"/>
  <c r="Y28" s="1"/>
  <c r="CY27"/>
  <c r="X27" s="1"/>
  <c r="GM27" s="1"/>
  <c r="HJ27"/>
  <c r="CZ27"/>
  <c r="Y27" s="1"/>
  <c r="CY26"/>
  <c r="X26" s="1"/>
  <c r="GN26" s="1"/>
  <c r="HJ26"/>
  <c r="CZ26"/>
  <c r="Y26" s="1"/>
  <c r="GM36"/>
  <c r="HD36" s="1"/>
  <c r="GM34"/>
  <c r="HD34" s="1"/>
  <c r="CM69" s="1"/>
  <c r="W33"/>
  <c r="EB69" s="1"/>
  <c r="CY25"/>
  <c r="X25" s="1"/>
  <c r="GM25" s="1"/>
  <c r="HJ25"/>
  <c r="CZ25"/>
  <c r="Y25" s="1"/>
  <c r="P80"/>
  <c r="CR46"/>
  <c r="Q46" s="1"/>
  <c r="CP46" s="1"/>
  <c r="O46" s="1"/>
  <c r="AB46"/>
  <c r="CY41"/>
  <c r="X41" s="1"/>
  <c r="HJ41"/>
  <c r="CZ41"/>
  <c r="Y41" s="1"/>
  <c r="CS45"/>
  <c r="R45" s="1"/>
  <c r="CY45" s="1"/>
  <c r="X45" s="1"/>
  <c r="CX27" i="3"/>
  <c r="CX15"/>
  <c r="CX3"/>
  <c r="CX32"/>
  <c r="CX8"/>
  <c r="AD41" i="1"/>
  <c r="CR41" s="1"/>
  <c r="Q41" s="1"/>
  <c r="CP41" s="1"/>
  <c r="O41" s="1"/>
  <c r="AB40"/>
  <c r="CX13" i="3"/>
  <c r="CX30"/>
  <c r="CX6"/>
  <c r="AD42" i="1"/>
  <c r="CR42" s="1"/>
  <c r="Q42" s="1"/>
  <c r="AB24"/>
  <c r="CX11" i="3"/>
  <c r="CX28"/>
  <c r="CX16"/>
  <c r="CX4"/>
  <c r="CX9"/>
  <c r="CX2"/>
  <c r="V31" i="1"/>
  <c r="V30"/>
  <c r="V29"/>
  <c r="V28"/>
  <c r="V27"/>
  <c r="V26"/>
  <c r="AI69" s="1"/>
  <c r="V25"/>
  <c r="EA69" s="1"/>
  <c r="CX7" i="3"/>
  <c r="U28" i="1"/>
  <c r="AH69" s="1"/>
  <c r="GM63" l="1"/>
  <c r="GN63"/>
  <c r="GM53"/>
  <c r="GN53"/>
  <c r="GM46"/>
  <c r="GN46"/>
  <c r="GM58"/>
  <c r="GN58"/>
  <c r="GN62"/>
  <c r="GM62"/>
  <c r="GM41"/>
  <c r="GN41"/>
  <c r="GM59"/>
  <c r="GN59"/>
  <c r="HK26"/>
  <c r="HL26"/>
  <c r="HK30"/>
  <c r="HL30"/>
  <c r="EL22"/>
  <c r="P87"/>
  <c r="EL102"/>
  <c r="GM26"/>
  <c r="GM38"/>
  <c r="GN38"/>
  <c r="CP42"/>
  <c r="O42" s="1"/>
  <c r="AC69"/>
  <c r="ET22"/>
  <c r="P82"/>
  <c r="ET102"/>
  <c r="GM49"/>
  <c r="GN49"/>
  <c r="HK61"/>
  <c r="HL61"/>
  <c r="GM48"/>
  <c r="GN48"/>
  <c r="HK48"/>
  <c r="HL48"/>
  <c r="HK52"/>
  <c r="HL52"/>
  <c r="GN25"/>
  <c r="GN27"/>
  <c r="HI43"/>
  <c r="DW69"/>
  <c r="AU22"/>
  <c r="F88"/>
  <c r="AU102"/>
  <c r="FY22"/>
  <c r="EP69"/>
  <c r="GM64"/>
  <c r="GN64"/>
  <c r="GM61"/>
  <c r="GN61"/>
  <c r="EA22"/>
  <c r="DN69"/>
  <c r="GM47"/>
  <c r="GN47"/>
  <c r="EG22"/>
  <c r="EG102"/>
  <c r="P73"/>
  <c r="HK60"/>
  <c r="HL60"/>
  <c r="GN32"/>
  <c r="HK27"/>
  <c r="HL27"/>
  <c r="HK31"/>
  <c r="HL31"/>
  <c r="GN28"/>
  <c r="GN44"/>
  <c r="GM44"/>
  <c r="AQ22"/>
  <c r="F79"/>
  <c r="AQ102"/>
  <c r="DV69"/>
  <c r="AB42"/>
  <c r="GM50"/>
  <c r="GN50"/>
  <c r="GM52"/>
  <c r="GN52"/>
  <c r="GM65"/>
  <c r="GN65"/>
  <c r="HK49"/>
  <c r="HL49"/>
  <c r="HK50"/>
  <c r="HL50"/>
  <c r="HL47"/>
  <c r="HK47"/>
  <c r="AP22"/>
  <c r="F78"/>
  <c r="AP102"/>
  <c r="BC22"/>
  <c r="F85"/>
  <c r="BC102"/>
  <c r="CI22"/>
  <c r="AZ69"/>
  <c r="EI22"/>
  <c r="EI102"/>
  <c r="P79"/>
  <c r="AF22"/>
  <c r="S69"/>
  <c r="AB62"/>
  <c r="AH22"/>
  <c r="U69"/>
  <c r="HK25"/>
  <c r="HL25"/>
  <c r="GN29"/>
  <c r="BB22"/>
  <c r="F82"/>
  <c r="BB102"/>
  <c r="CP33"/>
  <c r="O33" s="1"/>
  <c r="DU69"/>
  <c r="AL69"/>
  <c r="EU22"/>
  <c r="EU102"/>
  <c r="P85"/>
  <c r="HK28"/>
  <c r="HL28"/>
  <c r="HK32"/>
  <c r="HL32"/>
  <c r="CG22"/>
  <c r="AX69"/>
  <c r="DY22"/>
  <c r="DL69"/>
  <c r="HK24"/>
  <c r="HL24"/>
  <c r="AT22"/>
  <c r="F87"/>
  <c r="AT102"/>
  <c r="ER18"/>
  <c r="P113"/>
  <c r="HK63"/>
  <c r="HL63"/>
  <c r="HK65"/>
  <c r="HL65"/>
  <c r="HK51"/>
  <c r="HL51"/>
  <c r="CY33"/>
  <c r="X33" s="1"/>
  <c r="EC69" s="1"/>
  <c r="HJ33"/>
  <c r="CZ33"/>
  <c r="Y33" s="1"/>
  <c r="ED69" s="1"/>
  <c r="DX69"/>
  <c r="AK69"/>
  <c r="HK62"/>
  <c r="HL62"/>
  <c r="AE22"/>
  <c r="R69"/>
  <c r="CM22"/>
  <c r="BD69"/>
  <c r="GE22"/>
  <c r="EV69"/>
  <c r="HK43"/>
  <c r="HL43"/>
  <c r="CP39"/>
  <c r="O39" s="1"/>
  <c r="HK53"/>
  <c r="HL53"/>
  <c r="GM51"/>
  <c r="GN51"/>
  <c r="HK58"/>
  <c r="HL58"/>
  <c r="HK64"/>
  <c r="HL64"/>
  <c r="DM22"/>
  <c r="DM102"/>
  <c r="P91"/>
  <c r="J37" i="5" s="1"/>
  <c r="AI22" i="1"/>
  <c r="V69"/>
  <c r="AO22"/>
  <c r="F73"/>
  <c r="AO102"/>
  <c r="AB41"/>
  <c r="HI45"/>
  <c r="HL45" s="1"/>
  <c r="CZ45"/>
  <c r="Y45" s="1"/>
  <c r="GM45" s="1"/>
  <c r="HK29"/>
  <c r="HL29"/>
  <c r="EM22"/>
  <c r="P88"/>
  <c r="EM102"/>
  <c r="GN31"/>
  <c r="CY43"/>
  <c r="X43" s="1"/>
  <c r="GM43" s="1"/>
  <c r="HK42"/>
  <c r="HL42"/>
  <c r="BA22"/>
  <c r="F89"/>
  <c r="BA102"/>
  <c r="GN60"/>
  <c r="HL38"/>
  <c r="HK38"/>
  <c r="HL39"/>
  <c r="HK39"/>
  <c r="AG22"/>
  <c r="T69"/>
  <c r="AJ22"/>
  <c r="W69"/>
  <c r="ES22"/>
  <c r="P89"/>
  <c r="ES102"/>
  <c r="EB22"/>
  <c r="DO69"/>
  <c r="GM24"/>
  <c r="GN24"/>
  <c r="AB69"/>
  <c r="HK41"/>
  <c r="HL41"/>
  <c r="AD69"/>
  <c r="HK44"/>
  <c r="HL44"/>
  <c r="HL46"/>
  <c r="HK46"/>
  <c r="EH22"/>
  <c r="EH102"/>
  <c r="P78"/>
  <c r="HK59"/>
  <c r="HL59"/>
  <c r="EC22" l="1"/>
  <c r="DP69"/>
  <c r="ED22"/>
  <c r="DQ69"/>
  <c r="DM18"/>
  <c r="P124"/>
  <c r="HK33"/>
  <c r="HL33"/>
  <c r="U22"/>
  <c r="U102"/>
  <c r="F91"/>
  <c r="BC18"/>
  <c r="F118"/>
  <c r="ES18"/>
  <c r="P122"/>
  <c r="EV22"/>
  <c r="EV102"/>
  <c r="P94"/>
  <c r="EU18"/>
  <c r="P118"/>
  <c r="DW22"/>
  <c r="DJ69"/>
  <c r="EL18"/>
  <c r="P120"/>
  <c r="DL22"/>
  <c r="DL102"/>
  <c r="P90"/>
  <c r="AL22"/>
  <c r="Y69"/>
  <c r="S22"/>
  <c r="S102"/>
  <c r="F84"/>
  <c r="AP18"/>
  <c r="F111"/>
  <c r="DN22"/>
  <c r="P92"/>
  <c r="J38" i="5" s="1"/>
  <c r="DN102" i="1"/>
  <c r="DU22"/>
  <c r="FW69"/>
  <c r="FX69"/>
  <c r="FZ69"/>
  <c r="DH69"/>
  <c r="ET18"/>
  <c r="P115"/>
  <c r="R22"/>
  <c r="F83"/>
  <c r="R102"/>
  <c r="AX22"/>
  <c r="F76"/>
  <c r="AX102"/>
  <c r="GM33"/>
  <c r="DT69"/>
  <c r="GN33"/>
  <c r="AD22"/>
  <c r="Q69"/>
  <c r="T22"/>
  <c r="T102"/>
  <c r="F90"/>
  <c r="AO18"/>
  <c r="F106"/>
  <c r="BB18"/>
  <c r="F115"/>
  <c r="EI18"/>
  <c r="P112"/>
  <c r="BD22"/>
  <c r="F94"/>
  <c r="BD102"/>
  <c r="W22"/>
  <c r="W102"/>
  <c r="F93"/>
  <c r="HK45"/>
  <c r="AB22"/>
  <c r="O69"/>
  <c r="GN43"/>
  <c r="DV22"/>
  <c r="DI69"/>
  <c r="AK22"/>
  <c r="X69"/>
  <c r="AQ18"/>
  <c r="F112"/>
  <c r="EP22"/>
  <c r="P76"/>
  <c r="EP102"/>
  <c r="AC22"/>
  <c r="CE69"/>
  <c r="CF69"/>
  <c r="CH69"/>
  <c r="P69"/>
  <c r="CB69"/>
  <c r="V22"/>
  <c r="V102"/>
  <c r="F92"/>
  <c r="GN45"/>
  <c r="GM39"/>
  <c r="GN39"/>
  <c r="FT69" s="1"/>
  <c r="DX22"/>
  <c r="DK69"/>
  <c r="AT18"/>
  <c r="F120"/>
  <c r="AZ22"/>
  <c r="F80"/>
  <c r="AZ102"/>
  <c r="GN42"/>
  <c r="GM42"/>
  <c r="BA18"/>
  <c r="F122"/>
  <c r="CA69"/>
  <c r="EM18"/>
  <c r="P121"/>
  <c r="EH18"/>
  <c r="P111"/>
  <c r="DO22"/>
  <c r="P93"/>
  <c r="DO102"/>
  <c r="EG18"/>
  <c r="P106"/>
  <c r="AU18"/>
  <c r="F121"/>
  <c r="FT22" l="1"/>
  <c r="EK69"/>
  <c r="CA22"/>
  <c r="AR69"/>
  <c r="EP18"/>
  <c r="P109"/>
  <c r="R18"/>
  <c r="F116"/>
  <c r="T18"/>
  <c r="F123"/>
  <c r="DJ22"/>
  <c r="DJ102"/>
  <c r="P83"/>
  <c r="U18"/>
  <c r="F124"/>
  <c r="BD18"/>
  <c r="F127"/>
  <c r="Q22"/>
  <c r="Q102"/>
  <c r="F81"/>
  <c r="AZ18"/>
  <c r="F113"/>
  <c r="X22"/>
  <c r="X102"/>
  <c r="F95"/>
  <c r="S18"/>
  <c r="F117"/>
  <c r="CB22"/>
  <c r="AS69"/>
  <c r="DH22"/>
  <c r="DH102"/>
  <c r="P72"/>
  <c r="V18"/>
  <c r="F125"/>
  <c r="P22"/>
  <c r="F72"/>
  <c r="P102"/>
  <c r="DI22"/>
  <c r="P81"/>
  <c r="DI102"/>
  <c r="FZ22"/>
  <c r="EQ69"/>
  <c r="Y22"/>
  <c r="F96"/>
  <c r="Y102"/>
  <c r="EV18"/>
  <c r="P127"/>
  <c r="DT22"/>
  <c r="DG69"/>
  <c r="FX22"/>
  <c r="EO69"/>
  <c r="DQ22"/>
  <c r="P96"/>
  <c r="DQ102"/>
  <c r="FS69"/>
  <c r="FW22"/>
  <c r="EN69"/>
  <c r="W18"/>
  <c r="F126"/>
  <c r="DO18"/>
  <c r="P126"/>
  <c r="CF22"/>
  <c r="AW69"/>
  <c r="DK22"/>
  <c r="P84"/>
  <c r="DK102"/>
  <c r="CE22"/>
  <c r="AV69"/>
  <c r="O22"/>
  <c r="F71"/>
  <c r="O102"/>
  <c r="AX18"/>
  <c r="F109"/>
  <c r="DL18"/>
  <c r="P123"/>
  <c r="DP22"/>
  <c r="P95"/>
  <c r="DP102"/>
  <c r="CH22"/>
  <c r="AY69"/>
  <c r="DN18"/>
  <c r="P125"/>
  <c r="DJ18" l="1"/>
  <c r="P116"/>
  <c r="FS22"/>
  <c r="EJ69"/>
  <c r="O18"/>
  <c r="F104"/>
  <c r="EN22"/>
  <c r="EN102"/>
  <c r="P74"/>
  <c r="AY22"/>
  <c r="AY102"/>
  <c r="F77"/>
  <c r="EQ22"/>
  <c r="P77"/>
  <c r="EQ102"/>
  <c r="AV22"/>
  <c r="AV102"/>
  <c r="F74"/>
  <c r="DK18"/>
  <c r="P117"/>
  <c r="DI18"/>
  <c r="P114"/>
  <c r="DH18"/>
  <c r="P105"/>
  <c r="AR22"/>
  <c r="AR102"/>
  <c r="F97"/>
  <c r="Y18"/>
  <c r="F129"/>
  <c r="F132" s="1"/>
  <c r="Q18"/>
  <c r="F114"/>
  <c r="AW22"/>
  <c r="F75"/>
  <c r="AW102"/>
  <c r="DQ18"/>
  <c r="P129"/>
  <c r="P132" s="1"/>
  <c r="EO22"/>
  <c r="P75"/>
  <c r="EO102"/>
  <c r="DG22"/>
  <c r="P71"/>
  <c r="DG102"/>
  <c r="P18"/>
  <c r="F105"/>
  <c r="EK22"/>
  <c r="EK102"/>
  <c r="P86"/>
  <c r="P98" s="1"/>
  <c r="DP18"/>
  <c r="P128"/>
  <c r="P131" s="1"/>
  <c r="AS22"/>
  <c r="AS102"/>
  <c r="F86"/>
  <c r="F98" s="1"/>
  <c r="X18"/>
  <c r="F128"/>
  <c r="F131" s="1"/>
  <c r="P135" l="1"/>
  <c r="AY18"/>
  <c r="F110"/>
  <c r="F135"/>
  <c r="AV18"/>
  <c r="F107"/>
  <c r="P134"/>
  <c r="P136" s="1"/>
  <c r="EN18"/>
  <c r="P107"/>
  <c r="EJ22"/>
  <c r="EJ102"/>
  <c r="P97"/>
  <c r="AW18"/>
  <c r="F108"/>
  <c r="DG18"/>
  <c r="P104"/>
  <c r="P133" s="1"/>
  <c r="AS18"/>
  <c r="F119"/>
  <c r="EQ18"/>
  <c r="P110"/>
  <c r="P99"/>
  <c r="P100"/>
  <c r="F133"/>
  <c r="EO18"/>
  <c r="P108"/>
  <c r="AR18"/>
  <c r="F130"/>
  <c r="EK18"/>
  <c r="P119"/>
  <c r="F134"/>
  <c r="F136" s="1"/>
  <c r="F99"/>
  <c r="F100"/>
  <c r="EJ18" l="1"/>
  <c r="P130"/>
</calcChain>
</file>

<file path=xl/sharedStrings.xml><?xml version="1.0" encoding="utf-8"?>
<sst xmlns="http://schemas.openxmlformats.org/spreadsheetml/2006/main" count="3541" uniqueCount="345">
  <si>
    <t>Smeta.RU  (495) 974-1589</t>
  </si>
  <si>
    <t>_PS_</t>
  </si>
  <si>
    <t>Smeta.RU</t>
  </si>
  <si>
    <t/>
  </si>
  <si>
    <t>ндс Удаление деревьев на территории д.Чемоданово Юхновского района без вывоза порубочных остатков</t>
  </si>
  <si>
    <t>Симоненко Г.В.</t>
  </si>
  <si>
    <t>Глава  администрации</t>
  </si>
  <si>
    <t>Администрация</t>
  </si>
  <si>
    <t>.</t>
  </si>
  <si>
    <t>ИП</t>
  </si>
  <si>
    <t>Сметные нормы списания</t>
  </si>
  <si>
    <t>Коды ценников</t>
  </si>
  <si>
    <t>ФЕР-2020  И6, И7 новые методики НР и СП (1)</t>
  </si>
  <si>
    <t>Версия 1.1.0 ГСН (ГЭСН, ФЕР) и ТЕР (Методики НР (812/пр) и СП (774/пр) от 27.07.2021 г.</t>
  </si>
  <si>
    <t>ФЕР-2020 - изменения И6, И7</t>
  </si>
  <si>
    <t>Поправки для ГСН (ФЕР) 2020 от 25.06.2021 г И6, И7 Строительство</t>
  </si>
  <si>
    <t>ГСН</t>
  </si>
  <si>
    <t>Удаление деревьев на территории д.Чемоданово Юхновского района без вывоза порубочных остатков</t>
  </si>
  <si>
    <t>1</t>
  </si>
  <si>
    <t>68-35-1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</si>
  <si>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ствола: до 36 см</t>
  </si>
  <si>
    <t>м3</t>
  </si>
  <si>
    <t>ФЕРр-2001, 68-35-1, приказ Минстроя России № 876/пр от 26.12.2019</t>
  </si>
  <si>
    <t>Ремонтно-строительные работы</t>
  </si>
  <si>
    <t>Благоустройство</t>
  </si>
  <si>
    <t>рФЕР-68</t>
  </si>
  <si>
    <t>Пр812-4-102-3</t>
  </si>
  <si>
    <t>Пр774-4-102-3</t>
  </si>
  <si>
    <t>2</t>
  </si>
  <si>
    <t>68-35-2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</si>
  <si>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ствола: до 52 см</t>
  </si>
  <si>
    <t>ФЕРр-2001, 68-35-2, приказ Минстроя России № 876/пр от 26.12.2019</t>
  </si>
  <si>
    <t>3</t>
  </si>
  <si>
    <t>68-35-3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</si>
  <si>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ствола: до 72 см</t>
  </si>
  <si>
    <t>ФЕРр-2001, 68-35-3, приказ Минстроя России № 876/пр от 26.12.2019</t>
  </si>
  <si>
    <t>4</t>
  </si>
  <si>
    <t>68-35-4</t>
  </si>
  <si>
    <t>Валка деревьев в труднодоступных местах с применением канатного метода страховки без корчевки пня породы тополь при диаметре ствола: до 80 см</t>
  </si>
  <si>
    <t>ФЕРр-2001, 68-35-4, приказ Минстроя России № 876/пр от 26.12.2019</t>
  </si>
  <si>
    <t>5</t>
  </si>
  <si>
    <t>01-02-119-02</t>
  </si>
  <si>
    <t>Расчистка площадей от кустарника и мелколесья вручную: при средней поросли</t>
  </si>
  <si>
    <t>100 м2</t>
  </si>
  <si>
    <t>ФЕР-2001, 01-02-119-02, приказ Минстроя России № 876/пр от 26.12.2019</t>
  </si>
  <si>
    <t>Общестроительные работы</t>
  </si>
  <si>
    <t>Земляные работы</t>
  </si>
  <si>
    <t>Земляные работы, выполняемые: по другим видам работ ( подготовительные, сопутствующие, укрепительные )</t>
  </si>
  <si>
    <t>ФЕР-01</t>
  </si>
  <si>
    <t>Пр812-1-001.4-4</t>
  </si>
  <si>
    <t>Пр774-1-001.4-3</t>
  </si>
  <si>
    <t>Земляные работы, выполняемые: по другим видам работ (подготовительные, сопутствующие, укрепительные)</t>
  </si>
  <si>
    <t>6</t>
  </si>
  <si>
    <t>т01-01-01-041</t>
  </si>
  <si>
    <t>Погрузочные работы при автомобильных перевозках мусора строительного с погрузкой вручную</t>
  </si>
  <si>
    <t>1 Т ГРУЗА</t>
  </si>
  <si>
    <t>ФССЦпг-2001, т01-01-01-041, приказ Минстроя России №876/пр от 26.12.2019</t>
  </si>
  <si>
    <t>Погрузочно-разгрузочные работы</t>
  </si>
  <si>
    <t>ФССЦпр  пог. а/п (2011,изм. 4-6)</t>
  </si>
  <si>
    <t>7</t>
  </si>
  <si>
    <t>т03-21-01-005</t>
  </si>
  <si>
    <t>Перевозка грузов I класса автомобилями-самосвалами грузоподъемностью 10 т работающих вне карьера на расстояние до 5 км</t>
  </si>
  <si>
    <t>ФССЦпг-2001, т03-21-01-005, приказ Минстроя России №876/пр от 26.12.2019</t>
  </si>
  <si>
    <t>Перевозка грузов авто/транспортом</t>
  </si>
  <si>
    <t>Перевозка строительных грузов автомобильным транспортом</t>
  </si>
  <si>
    <t>ФССЦпр , изм. 7</t>
  </si>
  <si>
    <t>8</t>
  </si>
  <si>
    <t>68-34-2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</si>
  <si>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52 см</t>
  </si>
  <si>
    <t>ФЕРр-2001, 68-34-2, приказ Минстроя России № 876/пр от 26.12.2019</t>
  </si>
  <si>
    <t>9</t>
  </si>
  <si>
    <t>68-50-1</t>
  </si>
  <si>
    <t>Вырубка кустарников с последующей ручной переноской и складированием на расстояние до 50 м при диаметре кустов у корня до 300 мм</t>
  </si>
  <si>
    <t>ШТ</t>
  </si>
  <si>
    <t>ФЕРр-2001 доп. 5, 68-50-1, приказ Минстроя России № 51/пр от 09.02.2021</t>
  </si>
  <si>
    <t>10</t>
  </si>
  <si>
    <t>68-50-2</t>
  </si>
  <si>
    <t>Вырубка кустарников с последующей ручной переноской и складированием на расстояние до 50 м при диаметре кустов у корня свыше 300 до 700 мм</t>
  </si>
  <si>
    <t>ФЕРр-2001 доп. 5, 68-50-2, приказ Минстроя России № 51/пр от 09.02.2021</t>
  </si>
  <si>
    <t>11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</si>
  <si>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ствола: до 52 см</t>
  </si>
  <si>
    <t>68-34-4</t>
  </si>
  <si>
    <t>Валка деревьев с применением автогидроподъемника без корчевки пня породы тополь при диаметре ствола: до 100 см</t>
  </si>
  <si>
    <t>ФЕРр-2001, 68-34-4, приказ Минстроя России № 876/пр от 26.12.2019</t>
  </si>
  <si>
    <t>68-34-1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</si>
  <si>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ствола: до 36 см</t>
  </si>
  <si>
    <t>ФЕРр-2001, 68-34-1, приказ Минстроя России № 876/пр от 26.12.2019</t>
  </si>
  <si>
    <t>12</t>
  </si>
  <si>
    <t>13</t>
  </si>
  <si>
    <t>т03-21-01-012</t>
  </si>
  <si>
    <t>Перевозка грузов I класса автомобилями-самосвалами грузоподъемностью 10 т работающих вне карьера на расстояние: до 12 км</t>
  </si>
  <si>
    <t>ФССЦпг-2001, т03-21-01-012, приказ Минстроя России №876/пр от 26.12.2019</t>
  </si>
  <si>
    <t>01-02-119-03</t>
  </si>
  <si>
    <t>Расчистка площадей от кустарника и мелколесья вручную: при густой поросли</t>
  </si>
  <si>
    <t>ФЕР-2001, 01-02-119-03, приказ Минстроя России № 876/пр от 26.12.2019</t>
  </si>
  <si>
    <t>14</t>
  </si>
  <si>
    <t>68-34-3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</si>
  <si>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ствола: до 80 см</t>
  </si>
  <si>
    <t>ФЕРр-2001, 68-34-3, приказ Минстроя России № 876/пр от 26.12.2019</t>
  </si>
  <si>
    <t>15</t>
  </si>
  <si>
    <t>68-1-7</t>
  </si>
  <si>
    <t>Корчевка пней вручную давностью рубки до трех лет диаметром до 500 мм мягких пород</t>
  </si>
  <si>
    <t>ФЕРр-2001 доп. 1, 68-1-7, приказ Минстроя России № 172/пр от 30.03.2020</t>
  </si>
  <si>
    <t>16</t>
  </si>
  <si>
    <t>68-5-1</t>
  </si>
  <si>
    <t>Вырезка сухих ветвей деревьев лиственных пород диаметром: до 350 мм при количестве срезанных ветвей до 5</t>
  </si>
  <si>
    <t>ФЕРр-2001, 68-5-1, приказ Минстроя России № 876/пр от 26.12.2019</t>
  </si>
  <si>
    <t>17</t>
  </si>
  <si>
    <t>т01-01-01-043</t>
  </si>
  <si>
    <t>Погрузочные работы при автомобильных перевозках мусора строительного с погрузкой экскаваторами емкостью ковша до 0,5 м3</t>
  </si>
  <si>
    <t>ФССЦпг-2001, т01-01-01-043, приказ Минстроя России №876/пр от 26.12.2019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</si>
  <si>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</si>
  <si>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</si>
  <si>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</si>
  <si>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</si>
  <si>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</si>
  <si>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</si>
  <si>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</si>
  <si>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</si>
  <si>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</si>
  <si>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</si>
  <si>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</si>
  <si>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</si>
  <si>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</si>
  <si>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</si>
  <si>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</si>
  <si>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</si>
  <si>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</si>
  <si>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</si>
  <si>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</si>
  <si>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</si>
  <si>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</si>
  <si>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</si>
  <si>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</si>
  <si>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</si>
  <si>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</si>
  <si>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</si>
  <si>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</si>
  <si>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</si>
  <si>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</si>
  <si>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</si>
  <si>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</si>
  <si>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</si>
  <si>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</si>
  <si>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</si>
  <si>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</si>
  <si>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</si>
  <si>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</si>
  <si>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</si>
  <si>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</si>
  <si>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</si>
  <si>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</si>
  <si>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</si>
  <si>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</si>
  <si>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</si>
  <si>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</si>
  <si>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</si>
  <si>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</si>
  <si>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</si>
  <si>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</si>
  <si>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</si>
  <si>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</si>
  <si>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</si>
  <si>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</si>
  <si>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</si>
  <si>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Иттек</t>
  </si>
  <si>
    <t>Итого СМР в ценах 4кв  2021г с Кзп 24,24 Кэмм 9,52  Кмат 6,74 Письмо Минстрой РФ  от 01.11.2021№47672-ИФ/09</t>
  </si>
  <si>
    <t>втчм</t>
  </si>
  <si>
    <t>НДС 20%</t>
  </si>
  <si>
    <t>вссдиз</t>
  </si>
  <si>
    <t>Итого</t>
  </si>
  <si>
    <t>Нр07</t>
  </si>
  <si>
    <t>См09</t>
  </si>
  <si>
    <t>Ит2001</t>
  </si>
  <si>
    <t>Итого в ценах 2001г.</t>
  </si>
  <si>
    <t>Итого СМР в ценах 2 кв  2021г Письмо Минстрой РФ от №18410-ИФ/09 от   04.05.2021Методика НР 821пр и СП 774пр</t>
  </si>
  <si>
    <t>Компенсация затрат на уплату НДС (МАТ+(ЭММ-ЗПМ)+ НР*0,1712+ СмПр*0,15)*0,2</t>
  </si>
  <si>
    <t>сниж</t>
  </si>
  <si>
    <t>Снижение до</t>
  </si>
  <si>
    <t>СТР_РЕК</t>
  </si>
  <si>
    <t>СТРОИТЕЛЬСТВО и РЕКОНСТРУКЦИЯ  зданий и сооружений всех назначений</t>
  </si>
  <si>
    <t>Строительство и реконструкция</t>
  </si>
  <si>
    <t>РЕМ_ЖИЛ</t>
  </si>
  <si>
    <t>КАП. РЕМ. ЖИЛЫХ И ОБЩЕСТВЕННЫХ ЗДАНИЙ</t>
  </si>
  <si>
    <t>Капитальный ремонт жилых и общественных зданий</t>
  </si>
  <si>
    <t>РЕМ_ПР</t>
  </si>
  <si>
    <t>КАП. РЕМ. ПРОИЗВОДСТВЕННЫХ ЗД. и СООРУЖЕНИЙ,  НАРУЖНЫХ ИНЖЕНЕРНЫХ СЕТЕЙ, УЛИЦ И ДОРОГ МЕСТНОГО ЗНАЧЕНИЯ, ИНЖ,СООРУЖЕНИЙ ( ГИДРОТЕХ,СООРУЖ, МОСТОВ И ПУТЕПРОВОДОВ И Т.П.)</t>
  </si>
  <si>
    <t>Капитальный ремонт прозводственных зданий</t>
  </si>
  <si>
    <t>Территория</t>
  </si>
  <si>
    <t>для территории Российской Федерации, не относящейся к районам Крайнего Севера и приравненным к ним местностям</t>
  </si>
  <si>
    <t>МПРКС</t>
  </si>
  <si>
    <t>для территории Российской Федерации, относящейся к местностям, приравненным к районам Крайнего Севера</t>
  </si>
  <si>
    <t>РКС</t>
  </si>
  <si>
    <t>для территории Российской Федерации, относящейся к районам Крайнего Севера</t>
  </si>
  <si>
    <t>СЛЖ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</si>
  <si>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АЭС.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</si>
  <si>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</si>
  <si>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Сложные объекты</t>
  </si>
  <si>
    <t>АЭС</t>
  </si>
  <si>
    <t>При определении сметной стоимости строительства объектов капитального строительства АЭС.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</si>
  <si>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</si>
  <si>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ОПТ/В</t>
  </si>
  <si>
    <t>{вкл}    - Прокладка  МЕЖДУГОРОДНЫХ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</si>
  <si>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</si>
  <si>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Прокладка междугородных в/опт. кабелей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</si>
  <si>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</si>
  <si>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</si>
  <si>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</si>
  <si>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Диспетчеризация авитранспорта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</si>
  <si>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</si>
  <si>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</si>
  <si>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</si>
  <si>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Производство работ закрытым способом (обслуживающие процессы)</t>
  </si>
  <si>
    <t>ГОР</t>
  </si>
  <si>
    <t>(вкл) - ФЕРм-08, выполнение работ на горнорудных объектах  (выкл) - ФЕРм-08, выполнение работ на других объектах</t>
  </si>
  <si>
    <t>Выполнение работ на горнорудных объектах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</si>
  <si>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</si>
  <si>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</si>
  <si>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</si>
  <si>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п.25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</si>
  <si>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</si>
  <si>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</si>
  <si>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</si>
  <si>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п.16</t>
  </si>
  <si>
    <t>К_НР_СЛЖ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</si>
  <si>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объектов атомных электрических станций.  ( если {СЛЖ} = [вкл] )</t>
  </si>
  <si>
    <t>п.27 СЛОЖН</t>
  </si>
  <si>
    <t>К_НР_АЭС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</si>
  <si>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Для объектов атомных электрических станций.  ( если {АЭС} = [вкл] )</t>
  </si>
  <si>
    <t>п.27 АЭС</t>
  </si>
  <si>
    <t>Р_ОКР</t>
  </si>
  <si>
    <t>Разрядность округления результата расчета НР и СП  (с 05.04.2020 - до семи знаков после запятой)</t>
  </si>
  <si>
    <t>Лист_НРиСП</t>
  </si>
  <si>
    <t>Уровень цен</t>
  </si>
  <si>
    <t>Индексы за итогом</t>
  </si>
  <si>
    <t>2000</t>
  </si>
  <si>
    <t>_OBSM_</t>
  </si>
  <si>
    <t>1-100-35</t>
  </si>
  <si>
    <t>Рабочий среднего разряда 3.5</t>
  </si>
  <si>
    <t>чел.-ч.</t>
  </si>
  <si>
    <t>1-100-30</t>
  </si>
  <si>
    <t>Рабочий среднего разряда 3</t>
  </si>
  <si>
    <t>4-100-00</t>
  </si>
  <si>
    <t>Затраты труда машинистов</t>
  </si>
  <si>
    <t>91.06.06-013</t>
  </si>
  <si>
    <t>ФСЭМ-2001, 91.06.06-013 , приказ Минстроя России № 876/пр от 26.12.2019</t>
  </si>
  <si>
    <t>Автогидроподъемники, высота подъема 22 м</t>
  </si>
  <si>
    <t>маш.-ч</t>
  </si>
  <si>
    <t>1-100-16</t>
  </si>
  <si>
    <t>Рабочий среднего разряда 1.6</t>
  </si>
  <si>
    <t>4-100-0</t>
  </si>
  <si>
    <t>Затраты труда рабочих (Средний разряд - 3,5)</t>
  </si>
  <si>
    <t>маш.-ч.</t>
  </si>
  <si>
    <t>1-100-19</t>
  </si>
  <si>
    <t>Рабочий среднего разряда 1.9</t>
  </si>
  <si>
    <t>91.14.02-001</t>
  </si>
  <si>
    <t>ФСЭМ-2001, 91.14.02-001 , приказ Минстроя России № 876/пр от 26.12.2019</t>
  </si>
  <si>
    <t>Автомобили бортовые, грузоподъемность до 5 т</t>
  </si>
  <si>
    <t>1-100-29</t>
  </si>
  <si>
    <t>Рабочий среднего разряда 2.9</t>
  </si>
  <si>
    <t>16.2.01.02</t>
  </si>
  <si>
    <t>Земля растительная</t>
  </si>
  <si>
    <t>ГОСУДАРСТВЕННЫЕ СМЕТНЫЕ НОРМАТИВЫ (ФЕР-2020),   утвержденные приказами Минстроя России от 26 декабря 2019 г.   № 876/пр (в редакции приказов Минстроя РФ от 30 марта 2020 г.   № 172/пр, от 1 июня 2020 г. № 294/пр, от 30 июня 2020 г. № 352/пр,   от 20 октября 2020 г. № 636/пр, от 9 февраля 2021 г. № 51/пр,   от 24 мая 2021 г. № 321/пр, от 24 июня 2021 г. № 408/пр)</t>
  </si>
  <si>
    <t>"СОГЛАСОВАНО"</t>
  </si>
  <si>
    <t>"УТВЕРЖДАЮ"</t>
  </si>
  <si>
    <t>"_____"________________ 2022 г.</t>
  </si>
  <si>
    <t>(наименование стройки)</t>
  </si>
  <si>
    <t>(наименование объекта капитального строительства)</t>
  </si>
  <si>
    <t>(наименование конструктивного решения)</t>
  </si>
  <si>
    <t>Составлен</t>
  </si>
  <si>
    <t>метод</t>
  </si>
  <si>
    <t>Основание</t>
  </si>
  <si>
    <t>(проектная и (или) иная техническая документация)</t>
  </si>
  <si>
    <t>Сметная стоимость</t>
  </si>
  <si>
    <t>тыс. руб.</t>
  </si>
  <si>
    <t>Средства на оплату труда</t>
  </si>
  <si>
    <t>в том числе:</t>
  </si>
  <si>
    <t>рабочих</t>
  </si>
  <si>
    <t xml:space="preserve"> </t>
  </si>
  <si>
    <t>строительных работ</t>
  </si>
  <si>
    <t xml:space="preserve">Нормативные затраты труда рабочих </t>
  </si>
  <si>
    <t xml:space="preserve">монтажных работ    </t>
  </si>
  <si>
    <t xml:space="preserve">Нормативные затраты труда машинистов </t>
  </si>
  <si>
    <t xml:space="preserve">оборудования         </t>
  </si>
  <si>
    <t>Расчетный измеритель</t>
  </si>
  <si>
    <t xml:space="preserve">прочих затрат       </t>
  </si>
  <si>
    <t>конструктивного решения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</si>
  <si>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</si>
  <si>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</si>
  <si>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</si>
  <si>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</si>
  <si>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</si>
  <si>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 в базисном уровне цен (в текущем уровне цен (гр.8) для ресурсов, отсутствующих в СНБ), руб.</t>
  </si>
  <si>
    <t>Индексы</t>
  </si>
  <si>
    <t>Сметная стоимость в текущем уровне цен, руб.</t>
  </si>
  <si>
    <t>на единицу</t>
  </si>
  <si>
    <t>коэффициенты</t>
  </si>
  <si>
    <r>
      <t>всего с учетом коэффицие</t>
    </r>
    <r>
      <rPr>
        <sz val="10"/>
        <color indexed="8"/>
        <rFont val="Arial"/>
        <family val="2"/>
        <charset val="204"/>
      </rPr>
      <t>нтов</t>
    </r>
  </si>
  <si>
    <t>всего</t>
  </si>
  <si>
    <t>Наименование программного продукта: Программа для ЭВМ «Программа: «SmetaRu» версия 11»</t>
  </si>
  <si>
    <t>Базисно-индексный</t>
  </si>
  <si>
    <t>Составлена в ценах IV квартал 2021 года (1.01.2000)</t>
  </si>
  <si>
    <t>ОТ</t>
  </si>
  <si>
    <t>ЗТ</t>
  </si>
  <si>
    <t>чел-ч</t>
  </si>
  <si>
    <t>Итого по расценке</t>
  </si>
  <si>
    <t>ФОТ</t>
  </si>
  <si>
    <t>НР Благоустройство</t>
  </si>
  <si>
    <t>%</t>
  </si>
  <si>
    <t>СП Благоустройство</t>
  </si>
  <si>
    <t>Всего по позиции</t>
  </si>
  <si>
    <t>НР Земляные работы, выполняемые: по другим видам работ (подготовительные, сопутствующие, укрепительные)</t>
  </si>
  <si>
    <t>СП Земляные работы, выполняемые: по другим видам работ (подготовительные, сопутствующие, укрепительные)</t>
  </si>
  <si>
    <t>ВСЕГО по смете (в базисном и текущем уровнях цен)</t>
  </si>
  <si>
    <t>ВСЕГО прямые затраты по смете</t>
  </si>
  <si>
    <t>в том числе</t>
  </si>
  <si>
    <t xml:space="preserve">   оплата труда</t>
  </si>
  <si>
    <t xml:space="preserve">   эксплуатация машин и механизмов</t>
  </si>
  <si>
    <t xml:space="preserve">   материальные ресурсы</t>
  </si>
  <si>
    <t xml:space="preserve">   перевозка</t>
  </si>
  <si>
    <t>Всего ФОТ (справочно)</t>
  </si>
  <si>
    <t>Всего накладные расходы</t>
  </si>
  <si>
    <t>Всего сметная прибыль</t>
  </si>
  <si>
    <t>Всего оборудование</t>
  </si>
  <si>
    <t>Всего прочие затраты</t>
  </si>
  <si>
    <t xml:space="preserve">   пусконаладочные работы</t>
  </si>
  <si>
    <t xml:space="preserve">   прочие затраты</t>
  </si>
  <si>
    <t xml:space="preserve">   материальные ресурсы, отсутствующие в СНБ (в текущем уровне цен)</t>
  </si>
  <si>
    <t xml:space="preserve">   оборудование, отсутствующие в СНБ (в текущем уровне цен)</t>
  </si>
  <si>
    <t xml:space="preserve">Составил   </t>
  </si>
  <si>
    <t>[должность,подпись(инициалы,фамилия)]</t>
  </si>
  <si>
    <t xml:space="preserve">Проверил   </t>
  </si>
  <si>
    <t>___________________________</t>
  </si>
  <si>
    <t>" ___ " ___________ 20 ___ г.</t>
  </si>
  <si>
    <t>№ в ЛСР</t>
  </si>
  <si>
    <t>Ссылка на чертежи, спецификации</t>
  </si>
  <si>
    <t>Формула расчета, расчет объемов работ и расхода материалов</t>
  </si>
  <si>
    <t>Примечание</t>
  </si>
  <si>
    <t>Главный инженер проекта _________________</t>
  </si>
  <si>
    <t>Составил _________________</t>
  </si>
  <si>
    <t xml:space="preserve"> Удаление деревьев на территории д.Чемоданово Юхновского района</t>
  </si>
  <si>
    <t xml:space="preserve">Удаление деревьев на территории д.Чемоданово Юхновского района </t>
  </si>
  <si>
    <t>Изменения в сметные нормы, федеральные единичные расценки и отдельные составляющие к ним, включенные в федеральный реестр сметных нормативов приказами Минстроя России от 26 декабря 2019 г. № 871/пр, 872/пр, 873/пр, 874/пр, 875/пр, 876/пр (в ред. приказов от 30.03.2020 № 171/пр, 172/пр, от 01.06.2020 № 294/пр, 295/пр, от 30.06.2020 № 352/пр, 353/пр, от 20.10.2020  № 635/пр, 636/пр, от 09.02.2021 № 50/пр, 51/пр, от 24.05.2021 № 320/пр, 321/пр, от 24.06.2021 № 407/пр, 408/пр, от 14.10.2021 № 745/пр, 746/пр)</t>
  </si>
  <si>
    <t>Локалькая смета: Благоустройство территории кладбища в д. Чемоданово Юхновского района, Калужской области</t>
  </si>
  <si>
    <t>Благоустройство территории кладбища в д. Чемоданово Юхновского района, Калужской области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</si>
</sst>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#,##0.00;[Red]\-\ #,##0.00"/>
    <numFmt numFmtId="166" formatCode="#,##0.00############;[Red]\-\ #,##0.00############"/>
    <numFmt numFmtId="167" formatCode="#,##0.00#####;[Red]\-\ #,##0.00#####"/>
  </numFmts>
  <fonts count="23">
    <font>
      <sz val="10"/>
      <name val="Arial"/>
      <charset val="204"/>
    </font>
    <font>
      <b/>
      <sz val="10"/>
      <color indexed="12"/>
      <name val="Arial"/>
      <charset val="204"/>
    </font>
    <font>
      <sz val="10"/>
      <color indexed="18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sz val="10"/>
      <color indexed="16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i/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/>
    <xf numFmtId="0" fontId="15" fillId="0" borderId="0" xfId="0" applyFont="1"/>
    <xf numFmtId="0" fontId="15" fillId="0" borderId="0" xfId="0" applyFont="1" applyAlignment="1"/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wrapText="1"/>
    </xf>
    <xf numFmtId="0" fontId="0" fillId="0" borderId="0" xfId="0" applyBorder="1"/>
    <xf numFmtId="0" fontId="15" fillId="0" borderId="0" xfId="0" applyFont="1" applyBorder="1"/>
    <xf numFmtId="0" fontId="15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6" fillId="0" borderId="0" xfId="0" applyFont="1" applyBorder="1" applyAlignment="1">
      <alignment vertical="top" wrapText="1"/>
    </xf>
    <xf numFmtId="0" fontId="19" fillId="0" borderId="0" xfId="0" applyFont="1"/>
    <xf numFmtId="14" fontId="15" fillId="0" borderId="0" xfId="0" applyNumberFormat="1" applyFont="1" applyBorder="1" applyAlignment="1"/>
    <xf numFmtId="0" fontId="15" fillId="0" borderId="0" xfId="0" applyFont="1" applyBorder="1" applyAlignment="1"/>
    <xf numFmtId="0" fontId="11" fillId="0" borderId="0" xfId="0" applyFont="1" applyFill="1"/>
    <xf numFmtId="0" fontId="15" fillId="0" borderId="0" xfId="0" applyFont="1" applyFill="1"/>
    <xf numFmtId="0" fontId="20" fillId="0" borderId="0" xfId="0" applyFont="1"/>
    <xf numFmtId="164" fontId="15" fillId="0" borderId="0" xfId="0" applyNumberFormat="1" applyFont="1" applyFill="1"/>
    <xf numFmtId="165" fontId="11" fillId="0" borderId="0" xfId="0" applyNumberFormat="1" applyFont="1" applyFill="1" applyAlignment="1">
      <alignment horizontal="righ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165" fontId="15" fillId="0" borderId="0" xfId="0" applyNumberFormat="1" applyFont="1"/>
    <xf numFmtId="0" fontId="11" fillId="0" borderId="0" xfId="0" applyFont="1" applyAlignment="1">
      <alignment vertical="top" wrapText="1"/>
    </xf>
    <xf numFmtId="0" fontId="15" fillId="0" borderId="1" xfId="0" applyFont="1" applyBorder="1"/>
    <xf numFmtId="165" fontId="0" fillId="0" borderId="0" xfId="0" applyNumberFormat="1"/>
    <xf numFmtId="0" fontId="0" fillId="0" borderId="1" xfId="0" applyBorder="1"/>
    <xf numFmtId="0" fontId="11" fillId="0" borderId="1" xfId="0" applyFont="1" applyBorder="1" applyAlignment="1">
      <alignment vertical="top" wrapText="1"/>
    </xf>
    <xf numFmtId="0" fontId="15" fillId="0" borderId="0" xfId="0" quotePrefix="1" applyFont="1" applyAlignment="1">
      <alignment horizontal="left" wrapText="1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166" fontId="15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165" fontId="15" fillId="0" borderId="0" xfId="0" applyNumberFormat="1" applyFont="1" applyFill="1"/>
    <xf numFmtId="167" fontId="11" fillId="0" borderId="0" xfId="0" applyNumberFormat="1" applyFont="1" applyFill="1" applyBorder="1" applyAlignment="1">
      <alignment horizontal="right"/>
    </xf>
    <xf numFmtId="0" fontId="22" fillId="0" borderId="0" xfId="0" applyFont="1" applyAlignment="1">
      <alignment horizontal="right" wrapText="1"/>
    </xf>
    <xf numFmtId="0" fontId="15" fillId="0" borderId="0" xfId="0" applyFont="1" applyAlignment="1">
      <alignment horizontal="right" wrapText="1"/>
    </xf>
    <xf numFmtId="0" fontId="22" fillId="0" borderId="1" xfId="0" applyFont="1" applyBorder="1" applyAlignment="1">
      <alignment horizontal="right" wrapText="1"/>
    </xf>
    <xf numFmtId="0" fontId="15" fillId="0" borderId="1" xfId="0" applyFont="1" applyBorder="1" applyAlignment="1">
      <alignment horizontal="right"/>
    </xf>
    <xf numFmtId="165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vertical="center"/>
    </xf>
    <xf numFmtId="165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vertical="top" wrapText="1"/>
    </xf>
    <xf numFmtId="0" fontId="15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7" fillId="0" borderId="0" xfId="0" applyFont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Alignment="1">
      <alignment horizontal="left" vertical="center" wrapText="1"/>
    </xf>
    <xf numFmtId="165" fontId="17" fillId="0" borderId="2" xfId="0" applyNumberFormat="1" applyFont="1" applyBorder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top" wrapText="1"/>
    </xf>
    <xf numFmtId="165" fontId="11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2" fontId="11" fillId="0" borderId="0" xfId="0" applyNumberFormat="1" applyFont="1" applyFill="1" applyAlignment="1">
      <alignment horizontal="right"/>
    </xf>
    <xf numFmtId="0" fontId="14" fillId="0" borderId="1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/>
    </xf>
    <xf numFmtId="0" fontId="15" fillId="0" borderId="0" xfId="0" applyFont="1" applyBorder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7" fillId="0" borderId="0" xfId="0" applyFont="1" applyBorder="1" applyAlignment="1">
      <alignment horizontal="right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S132"/>
  <sheetViews>
    <sheetView topLeftCell="A13" zoomScale="75" zoomScaleNormal="75" workbookViewId="0">
      <selection activeCell="CY21" sqref="CY21"/>
    </sheetView>
  </sheetViews>
  <sheetFormatPr defaultRowHeight="12.75"/>
  <cols>
    <col min="1" max="1" width="5.7109375" customWidth="1"/>
    <col min="2" max="2" width="20.7109375" customWidth="1"/>
    <col min="3" max="3" width="40.7109375" customWidth="1"/>
    <col min="4" max="4" width="10.7109375" customWidth="1"/>
    <col min="5" max="12" width="14.7109375" customWidth="1"/>
    <col min="15" max="91" width="0" hidden="1" customWidth="1"/>
    <col min="92" max="92" width="171.7109375" hidden="1" customWidth="1"/>
    <col min="93" max="93" width="0" hidden="1" customWidth="1"/>
    <col min="94" max="94" width="190.7109375" hidden="1" customWidth="1"/>
    <col min="95" max="96" width="0" hidden="1" customWidth="1"/>
    <col min="97" max="97" width="123.7109375" hidden="1" customWidth="1"/>
    <col min="98" max="99" width="0" hidden="1" customWidth="1"/>
  </cols>
  <sheetData>
    <row r="1" spans="1:94">
      <c r="A1" s="12" t="str">
        <f>Source!B1</f>
        <v>Smeta.RU  (495) 974-1589</v>
      </c>
    </row>
    <row r="3" spans="1:94" ht="16.5">
      <c r="A3" s="13"/>
      <c r="B3" s="120" t="s">
        <v>263</v>
      </c>
      <c r="C3" s="120"/>
      <c r="D3" s="120"/>
      <c r="E3" s="120"/>
      <c r="F3" s="14"/>
      <c r="G3" s="14"/>
      <c r="H3" s="120" t="s">
        <v>264</v>
      </c>
      <c r="I3" s="120"/>
      <c r="J3" s="120"/>
      <c r="K3" s="120"/>
      <c r="L3" s="120"/>
    </row>
    <row r="4" spans="1:94" ht="14.25">
      <c r="A4" s="14"/>
      <c r="B4" s="95"/>
      <c r="C4" s="95"/>
      <c r="D4" s="95"/>
      <c r="E4" s="95"/>
      <c r="F4" s="14"/>
      <c r="G4" s="14"/>
      <c r="H4" s="95"/>
      <c r="I4" s="95"/>
      <c r="J4" s="95"/>
      <c r="K4" s="95"/>
      <c r="L4" s="95"/>
    </row>
    <row r="5" spans="1:94" ht="14.25">
      <c r="A5" s="15"/>
      <c r="B5" s="15"/>
      <c r="C5" s="16"/>
      <c r="D5" s="16"/>
      <c r="E5" s="16"/>
      <c r="F5" s="14"/>
      <c r="G5" s="14"/>
      <c r="H5" s="17"/>
      <c r="I5" s="16"/>
      <c r="J5" s="16"/>
      <c r="K5" s="16"/>
      <c r="L5" s="17"/>
    </row>
    <row r="6" spans="1:94" ht="14.25">
      <c r="A6" s="17"/>
      <c r="B6" s="95" t="str">
        <f>CONCATENATE("______________________ ", IF(Source!AL12&lt;&gt;"", Source!AL12, ""))</f>
        <v>______________________ .</v>
      </c>
      <c r="C6" s="95"/>
      <c r="D6" s="95"/>
      <c r="E6" s="95"/>
      <c r="F6" s="14"/>
      <c r="G6" s="14"/>
      <c r="H6" s="95" t="str">
        <f>CONCATENATE("______________________ ", IF(Source!AH12&lt;&gt;"", Source!AH12, ""))</f>
        <v xml:space="preserve">______________________ </v>
      </c>
      <c r="I6" s="95"/>
      <c r="J6" s="95"/>
      <c r="K6" s="95"/>
      <c r="L6" s="95"/>
    </row>
    <row r="7" spans="1:94" ht="14.25">
      <c r="A7" s="18"/>
      <c r="B7" s="118" t="s">
        <v>265</v>
      </c>
      <c r="C7" s="118"/>
      <c r="D7" s="118"/>
      <c r="E7" s="118"/>
      <c r="F7" s="14"/>
      <c r="G7" s="14"/>
      <c r="H7" s="118" t="s">
        <v>265</v>
      </c>
      <c r="I7" s="118"/>
      <c r="J7" s="118"/>
      <c r="K7" s="118"/>
      <c r="L7" s="118"/>
    </row>
    <row r="10" spans="1:94" ht="39.75" customHeight="1">
      <c r="A10" s="119" t="s">
        <v>342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CP10" s="75" t="str">
        <f>Source!CQ12</f>
        <v>ГОСУДАРСТВЕННЫЕ СМЕТНЫЕ НОРМАТИВЫ (ФЕР-2020),   утвержденные приказами Минстроя России от 26 декабря 2019 г.   № 876/пр (в редакции приказов Минстроя РФ от 30 марта 2020 г.   № 172/пр, от 1 июня 2020 г. № 294/пр, от 30 июня 2020 г. № 352/пр,   от 20 октября 2020 г. № 636/пр, от 9 февраля 2021 г. № 51/пр,   от 24 мая 2021 г. № 321/пр, от 24 июня 2021 г. № 408/пр)</v>
      </c>
    </row>
    <row r="11" spans="1:94">
      <c r="A11" s="11"/>
      <c r="B11" s="11"/>
      <c r="D11" s="19"/>
      <c r="E11" s="19"/>
      <c r="F11" s="19"/>
      <c r="G11" s="19"/>
      <c r="H11" s="19"/>
      <c r="I11" s="19"/>
      <c r="J11" s="19"/>
      <c r="K11" s="19"/>
    </row>
    <row r="12" spans="1:94">
      <c r="A12" s="119" t="s">
        <v>299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</row>
    <row r="15" spans="1:94" ht="15.75">
      <c r="A15" s="18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8"/>
    </row>
    <row r="16" spans="1:94" ht="14.25">
      <c r="A16" s="20"/>
      <c r="B16" s="114" t="s">
        <v>266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8"/>
    </row>
    <row r="17" spans="1:92" ht="14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92" ht="15.75">
      <c r="A18" s="14"/>
      <c r="B18" s="113" t="s">
        <v>344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4"/>
      <c r="CN18" s="76" t="str">
        <f>IF(Source!G12&lt;&gt;"Новый объект", Source!G12, "")</f>
        <v xml:space="preserve"> Удаление деревьев на территории д.Чемоданово Юхновского района</v>
      </c>
    </row>
    <row r="19" spans="1:92" ht="14.25">
      <c r="A19" s="14"/>
      <c r="B19" s="114" t="s">
        <v>267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4"/>
    </row>
    <row r="20" spans="1:92" ht="14.25">
      <c r="A20" s="14"/>
      <c r="B20" s="14"/>
      <c r="C20" s="14"/>
      <c r="D20" s="14"/>
      <c r="E20" s="14"/>
      <c r="F20" s="21"/>
      <c r="G20" s="21"/>
      <c r="H20" s="21" t="s">
        <v>3</v>
      </c>
      <c r="I20" s="21"/>
      <c r="J20" s="21"/>
      <c r="K20" s="21"/>
      <c r="L20" s="21"/>
    </row>
    <row r="21" spans="1:92" ht="15.75">
      <c r="A21" s="22"/>
      <c r="B21" s="115" t="str">
        <f>CONCATENATE( "ЛОКАЛЬНАЯ СМЕТА № ", Source!F20, " ",Source!CM20)</f>
        <v xml:space="preserve">ЛОКАЛЬНАЯ СМЕТА №  </v>
      </c>
      <c r="C21" s="115"/>
      <c r="D21" s="115"/>
      <c r="E21" s="115"/>
      <c r="F21" s="115"/>
      <c r="G21" s="115"/>
      <c r="H21" s="115"/>
      <c r="I21" s="115"/>
      <c r="J21" s="115"/>
      <c r="K21" s="115"/>
      <c r="L21" s="22"/>
    </row>
    <row r="22" spans="1:92" ht="15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2"/>
    </row>
    <row r="23" spans="1:92" ht="18">
      <c r="A23" s="14"/>
      <c r="B23" s="116" t="s">
        <v>344</v>
      </c>
      <c r="C23" s="116"/>
      <c r="D23" s="116"/>
      <c r="E23" s="116"/>
      <c r="F23" s="116"/>
      <c r="G23" s="116"/>
      <c r="H23" s="116"/>
      <c r="I23" s="116"/>
      <c r="J23" s="116"/>
      <c r="K23" s="116"/>
      <c r="L23" s="24"/>
      <c r="CN23" s="77" t="str">
        <f>IF(Source!G20&lt;&gt;"Новая локальная смета", Source!G20, "")</f>
        <v xml:space="preserve">Удаление деревьев на территории д.Чемоданово Юхновского района </v>
      </c>
    </row>
    <row r="24" spans="1:92" ht="14.25">
      <c r="A24" s="14"/>
      <c r="B24" s="114" t="s">
        <v>268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8"/>
    </row>
    <row r="25" spans="1:92" ht="14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1:92" ht="14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1:92">
      <c r="A27" s="11" t="s">
        <v>269</v>
      </c>
      <c r="B27" s="11"/>
      <c r="C27" s="25" t="s">
        <v>300</v>
      </c>
      <c r="D27" s="11" t="s">
        <v>270</v>
      </c>
      <c r="E27" s="11"/>
      <c r="F27" s="11"/>
      <c r="G27" s="11"/>
      <c r="H27" s="11"/>
      <c r="I27" s="11"/>
      <c r="J27" s="11"/>
      <c r="K27" s="11"/>
      <c r="L27" s="11"/>
    </row>
    <row r="28" spans="1:9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92">
      <c r="A29" s="11" t="s">
        <v>271</v>
      </c>
      <c r="B29" s="11"/>
      <c r="C29" s="117"/>
      <c r="D29" s="117"/>
      <c r="E29" s="117"/>
      <c r="F29" s="117"/>
      <c r="G29" s="117"/>
      <c r="H29" s="11"/>
      <c r="I29" s="11"/>
      <c r="J29" s="11"/>
      <c r="K29" s="11"/>
      <c r="L29" s="26"/>
    </row>
    <row r="30" spans="1:92">
      <c r="A30" s="27"/>
      <c r="B30" s="28"/>
      <c r="C30" s="109" t="s">
        <v>272</v>
      </c>
      <c r="D30" s="109"/>
      <c r="E30" s="109"/>
      <c r="F30" s="109"/>
      <c r="G30" s="109"/>
      <c r="H30" s="29"/>
      <c r="I30" s="29"/>
      <c r="J30" s="29"/>
      <c r="K30" s="29"/>
      <c r="L30" s="29"/>
    </row>
    <row r="31" spans="1:92" ht="14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92" ht="14.25">
      <c r="A32" s="30" t="s">
        <v>301</v>
      </c>
      <c r="B32" s="14"/>
      <c r="C32" s="14"/>
      <c r="D32" s="31"/>
      <c r="E32" s="32"/>
      <c r="F32" s="14"/>
      <c r="G32" s="14"/>
      <c r="H32" s="14"/>
      <c r="I32" s="14"/>
      <c r="J32" s="14"/>
      <c r="K32" s="14"/>
      <c r="L32" s="14"/>
    </row>
    <row r="33" spans="1:56" ht="14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56" ht="14.25">
      <c r="A34" s="30" t="s">
        <v>273</v>
      </c>
      <c r="B34" s="14"/>
      <c r="C34" s="54">
        <f>(C37+C38+C39+C40)*1.2</f>
        <v>437.70882</v>
      </c>
      <c r="D34" s="110">
        <f>ROUND((SUM(O47:O125))/1000, 2)</f>
        <v>18.95</v>
      </c>
      <c r="E34" s="111"/>
      <c r="F34" s="33" t="s">
        <v>274</v>
      </c>
      <c r="G34" s="34"/>
      <c r="H34" s="34"/>
      <c r="I34" s="34"/>
      <c r="J34" s="34"/>
      <c r="K34" s="14"/>
      <c r="L34" s="14"/>
    </row>
    <row r="35" spans="1:56" ht="14.25">
      <c r="A35" s="14"/>
      <c r="B35" s="14"/>
      <c r="C35" s="44"/>
      <c r="D35" s="55"/>
      <c r="E35" s="34"/>
      <c r="F35" s="33"/>
      <c r="G35" s="33" t="s">
        <v>275</v>
      </c>
      <c r="H35" s="34"/>
      <c r="I35" s="34"/>
      <c r="J35" s="34"/>
      <c r="K35" s="14"/>
      <c r="L35" s="14"/>
    </row>
    <row r="36" spans="1:56" ht="14.25">
      <c r="A36" s="14"/>
      <c r="B36" s="35" t="s">
        <v>276</v>
      </c>
      <c r="C36" s="44"/>
      <c r="D36" s="55"/>
      <c r="E36" s="36"/>
      <c r="F36" s="33"/>
      <c r="G36" s="33" t="s">
        <v>277</v>
      </c>
      <c r="H36" s="34" t="s">
        <v>278</v>
      </c>
      <c r="I36" s="37">
        <f>(SUM(U47:U125))/1000</f>
        <v>119.32795</v>
      </c>
      <c r="J36" s="37">
        <f>ROUND((SUM(Q47:Q125))/1000, 2)</f>
        <v>4.92</v>
      </c>
      <c r="K36" s="11" t="s">
        <v>274</v>
      </c>
      <c r="L36" s="14"/>
    </row>
    <row r="37" spans="1:56" ht="14.25">
      <c r="A37" s="14"/>
      <c r="B37" s="30" t="s">
        <v>279</v>
      </c>
      <c r="C37" s="54">
        <f>(ROUND(SUM(AO47:AO125)*Source!D162, 2)+ROUND(SUM(AP47:AP125)*Source!E162, 2)+ROUND(SUM(AQ47:AQ125)*Source!G162, 2)+ROUND(SUM(AR47:AR125)*Source!L162, 2)+SUM(AS47:AS125)+SUM(AT47:AT125))/1000</f>
        <v>364.75735000000003</v>
      </c>
      <c r="D37" s="110">
        <f>ROUND((SUM(AN47:AN125)+SUM(AR47:AR125))/1000, 2)</f>
        <v>18.95</v>
      </c>
      <c r="E37" s="111"/>
      <c r="F37" s="33" t="s">
        <v>274</v>
      </c>
      <c r="G37" s="33" t="s">
        <v>280</v>
      </c>
      <c r="H37" s="34"/>
      <c r="I37" s="33"/>
      <c r="J37" s="56">
        <f>Source!P91</f>
        <v>544.9</v>
      </c>
      <c r="K37" s="11" t="s">
        <v>239</v>
      </c>
      <c r="L37" s="14"/>
    </row>
    <row r="38" spans="1:56" ht="14.25">
      <c r="A38" s="14"/>
      <c r="B38" s="30" t="s">
        <v>281</v>
      </c>
      <c r="C38" s="54">
        <f>(ROUND(SUM(AY47:AY125)*Source!D162, 2)+ROUND(SUM(AZ47:AZ125)*Source!E162, 2)+ROUND(SUM(BA47:BA125)*Source!G162, 2)+ROUND(SUM(BB47:BB125)*Source!L162, 2)+SUM(BC47:BC125)+SUM(BD47:BD125))/1000</f>
        <v>0</v>
      </c>
      <c r="D38" s="110">
        <f>ROUND((SUM(AX47:AX125)+SUM(BB47:BB125))/1000, 2)</f>
        <v>0</v>
      </c>
      <c r="E38" s="111"/>
      <c r="F38" s="33" t="s">
        <v>274</v>
      </c>
      <c r="G38" s="33" t="s">
        <v>282</v>
      </c>
      <c r="H38" s="34"/>
      <c r="I38" s="33"/>
      <c r="J38" s="56">
        <f>Source!P92</f>
        <v>0</v>
      </c>
      <c r="K38" s="11" t="s">
        <v>239</v>
      </c>
      <c r="L38" s="14"/>
    </row>
    <row r="39" spans="1:56" ht="14.25">
      <c r="A39" s="14"/>
      <c r="B39" s="30" t="s">
        <v>283</v>
      </c>
      <c r="C39" s="54">
        <f>(ROUND(SUM(BH47:BH125)*Source!H162, 2)+ROUND(SUM(BI47:BI125)*Source!L162, 2))/1000</f>
        <v>0</v>
      </c>
      <c r="D39" s="110">
        <f>ROUND((SUM(BH47:BH125)+SUM(BI47:BI125))/1000, 2)</f>
        <v>0</v>
      </c>
      <c r="E39" s="111"/>
      <c r="F39" s="33" t="s">
        <v>274</v>
      </c>
      <c r="G39" s="33" t="s">
        <v>284</v>
      </c>
      <c r="H39" s="34"/>
      <c r="I39" s="33"/>
      <c r="J39" s="38"/>
      <c r="K39" s="14"/>
      <c r="L39" s="14"/>
    </row>
    <row r="40" spans="1:56" ht="14.25">
      <c r="A40" s="14"/>
      <c r="B40" s="30" t="s">
        <v>285</v>
      </c>
      <c r="C40" s="54">
        <f>(ROUND(SUM(BM47:BM125)*Source!I162, 2)+SUM(BU47:BU125)+ROUND(SUM(BO47:BO125)*Source!H162, 2)+ROUND(SUM(BP47:BP125)*Source!L162, 2))/1000</f>
        <v>0</v>
      </c>
      <c r="D40" s="110">
        <f>ROUND((SUM(BM47:BM125)+SUM(BN47:BN125)+SUM(BO47:BO125)+SUM(BP47:BP125))/1000, 2)</f>
        <v>0</v>
      </c>
      <c r="E40" s="112"/>
      <c r="F40" s="33" t="s">
        <v>274</v>
      </c>
      <c r="G40" s="33" t="s">
        <v>286</v>
      </c>
      <c r="H40" s="34"/>
      <c r="I40" s="33">
        <f>Source!I20</f>
        <v>0</v>
      </c>
      <c r="J40" s="39" t="str">
        <f>Source!H20</f>
        <v/>
      </c>
      <c r="K40" s="14"/>
      <c r="L40" s="14"/>
    </row>
    <row r="41" spans="1:56" ht="14.25">
      <c r="A41" s="14"/>
      <c r="B41" s="14"/>
      <c r="C41" s="14"/>
      <c r="D41" s="34"/>
      <c r="E41" s="34"/>
      <c r="F41" s="34"/>
      <c r="G41" s="34"/>
      <c r="H41" s="34"/>
      <c r="I41" s="34"/>
      <c r="J41" s="34"/>
      <c r="K41" s="14"/>
      <c r="L41" s="14"/>
    </row>
    <row r="42" spans="1:56">
      <c r="A42" s="96" t="s">
        <v>287</v>
      </c>
      <c r="B42" s="96" t="s">
        <v>288</v>
      </c>
      <c r="C42" s="96" t="s">
        <v>289</v>
      </c>
      <c r="D42" s="96" t="s">
        <v>290</v>
      </c>
      <c r="E42" s="100" t="s">
        <v>291</v>
      </c>
      <c r="F42" s="101"/>
      <c r="G42" s="102"/>
      <c r="H42" s="100" t="s">
        <v>292</v>
      </c>
      <c r="I42" s="101"/>
      <c r="J42" s="102"/>
      <c r="K42" s="96" t="s">
        <v>293</v>
      </c>
      <c r="L42" s="96" t="s">
        <v>294</v>
      </c>
    </row>
    <row r="43" spans="1:56">
      <c r="A43" s="97"/>
      <c r="B43" s="97"/>
      <c r="C43" s="97"/>
      <c r="D43" s="97"/>
      <c r="E43" s="103"/>
      <c r="F43" s="104"/>
      <c r="G43" s="105"/>
      <c r="H43" s="103"/>
      <c r="I43" s="104"/>
      <c r="J43" s="105"/>
      <c r="K43" s="97"/>
      <c r="L43" s="97"/>
    </row>
    <row r="44" spans="1:56">
      <c r="A44" s="97"/>
      <c r="B44" s="97"/>
      <c r="C44" s="97"/>
      <c r="D44" s="97"/>
      <c r="E44" s="106"/>
      <c r="F44" s="107"/>
      <c r="G44" s="108"/>
      <c r="H44" s="106"/>
      <c r="I44" s="107"/>
      <c r="J44" s="108"/>
      <c r="K44" s="97"/>
      <c r="L44" s="97"/>
    </row>
    <row r="45" spans="1:56" ht="25.5">
      <c r="A45" s="98"/>
      <c r="B45" s="98"/>
      <c r="C45" s="98"/>
      <c r="D45" s="98"/>
      <c r="E45" s="40" t="s">
        <v>295</v>
      </c>
      <c r="F45" s="40" t="s">
        <v>296</v>
      </c>
      <c r="G45" s="40" t="s">
        <v>297</v>
      </c>
      <c r="H45" s="40" t="s">
        <v>295</v>
      </c>
      <c r="I45" s="40" t="s">
        <v>296</v>
      </c>
      <c r="J45" s="40" t="s">
        <v>298</v>
      </c>
      <c r="K45" s="98"/>
      <c r="L45" s="98"/>
    </row>
    <row r="46" spans="1:56" ht="14.25">
      <c r="A46" s="41">
        <v>1</v>
      </c>
      <c r="B46" s="41">
        <v>2</v>
      </c>
      <c r="C46" s="41">
        <v>3</v>
      </c>
      <c r="D46" s="41">
        <v>4</v>
      </c>
      <c r="E46" s="41">
        <v>5</v>
      </c>
      <c r="F46" s="41">
        <v>6</v>
      </c>
      <c r="G46" s="41">
        <v>7</v>
      </c>
      <c r="H46" s="41">
        <v>8</v>
      </c>
      <c r="I46" s="41">
        <v>9</v>
      </c>
      <c r="J46" s="41">
        <v>10</v>
      </c>
      <c r="K46" s="42">
        <v>11</v>
      </c>
      <c r="L46" s="43">
        <v>12</v>
      </c>
    </row>
    <row r="47" spans="1:56" ht="85.5">
      <c r="A47" s="72">
        <v>1</v>
      </c>
      <c r="B47" s="72" t="str">
        <f>Source!F25</f>
        <v>68-35-1</v>
      </c>
      <c r="C47" s="72" t="str">
        <f>Source!G25</f>
        <v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ствола: до 36 см</v>
      </c>
      <c r="D47" s="57" t="str">
        <f>Source!H25</f>
        <v>м3</v>
      </c>
      <c r="E47" s="52">
        <f>Source!K25</f>
        <v>29.63</v>
      </c>
      <c r="F47" s="52"/>
      <c r="G47" s="52">
        <f>Source!I25</f>
        <v>29.63</v>
      </c>
      <c r="H47" s="51"/>
      <c r="I47" s="58"/>
      <c r="J47" s="51"/>
      <c r="K47" s="58"/>
      <c r="L47" s="51"/>
      <c r="AG47">
        <f>Source!X25</f>
        <v>789.42</v>
      </c>
      <c r="AH47">
        <f>Source!HK25</f>
        <v>19135.52</v>
      </c>
      <c r="AI47">
        <f>Source!Y25</f>
        <v>417.93</v>
      </c>
      <c r="AJ47">
        <f>Source!HL25</f>
        <v>10130.57</v>
      </c>
      <c r="AS47">
        <f>IF(Source!BI25&lt;=1,AH47, 0)</f>
        <v>19135.52</v>
      </c>
      <c r="AT47">
        <f>IF(Source!BI25&lt;=1,AJ47, 0)</f>
        <v>10130.57</v>
      </c>
      <c r="BC47">
        <f>IF(Source!BI25=2,AH47, 0)</f>
        <v>0</v>
      </c>
      <c r="BD47">
        <f>IF(Source!BI25=2,AJ47, 0)</f>
        <v>0</v>
      </c>
    </row>
    <row r="49" spans="1:56">
      <c r="C49" s="45" t="str">
        <f>"Объем: "&amp;Source!K25&amp;"=(1,49+"&amp;"4,69*"&amp;"6)"</f>
        <v>Объем: 29,63=(1,49+4,69*6)</v>
      </c>
    </row>
    <row r="50" spans="1:56" ht="14.25">
      <c r="A50" s="72"/>
      <c r="B50" s="73">
        <v>1</v>
      </c>
      <c r="C50" s="72" t="s">
        <v>302</v>
      </c>
      <c r="D50" s="57"/>
      <c r="E50" s="52"/>
      <c r="F50" s="52"/>
      <c r="G50" s="52"/>
      <c r="H50" s="51">
        <f>Source!AO25</f>
        <v>26.12</v>
      </c>
      <c r="I50" s="58"/>
      <c r="J50" s="51">
        <f>ROUND(Source!AF25*Source!I25, 2)</f>
        <v>773.94</v>
      </c>
      <c r="K50" s="58">
        <f>IF(Source!BA25&lt;&gt; 0, Source!BA25, 1)</f>
        <v>24.24</v>
      </c>
      <c r="L50" s="51">
        <f>Source!HJ25</f>
        <v>18760.310000000001</v>
      </c>
    </row>
    <row r="51" spans="1:56" ht="14.25">
      <c r="A51" s="72"/>
      <c r="B51" s="72"/>
      <c r="C51" s="74" t="s">
        <v>303</v>
      </c>
      <c r="D51" s="59" t="s">
        <v>304</v>
      </c>
      <c r="E51" s="60">
        <f>Source!AQ25</f>
        <v>2.88</v>
      </c>
      <c r="F51" s="60"/>
      <c r="G51" s="60">
        <f>ROUND(Source!U25, 7)</f>
        <v>85.334400000000002</v>
      </c>
      <c r="H51" s="61"/>
      <c r="I51" s="62"/>
      <c r="J51" s="61"/>
      <c r="K51" s="62"/>
      <c r="L51" s="61"/>
    </row>
    <row r="52" spans="1:56" ht="14.25">
      <c r="A52" s="72"/>
      <c r="B52" s="72"/>
      <c r="C52" s="72" t="s">
        <v>305</v>
      </c>
      <c r="D52" s="57"/>
      <c r="E52" s="52"/>
      <c r="F52" s="52"/>
      <c r="G52" s="52"/>
      <c r="H52" s="51">
        <f>H50</f>
        <v>26.12</v>
      </c>
      <c r="I52" s="58"/>
      <c r="J52" s="51">
        <f>J50</f>
        <v>773.94</v>
      </c>
      <c r="K52" s="58"/>
      <c r="L52" s="51"/>
    </row>
    <row r="53" spans="1:56" ht="14.25">
      <c r="A53" s="72"/>
      <c r="B53" s="72"/>
      <c r="C53" s="72" t="s">
        <v>306</v>
      </c>
      <c r="D53" s="57"/>
      <c r="E53" s="52"/>
      <c r="F53" s="52"/>
      <c r="G53" s="52"/>
      <c r="H53" s="51"/>
      <c r="I53" s="58"/>
      <c r="J53" s="51">
        <f>SUM(Q47:Q56)+SUM(V47:V56)+SUM(X47:X56)+SUM(Y47:Y56)</f>
        <v>773.94</v>
      </c>
      <c r="K53" s="58"/>
      <c r="L53" s="51">
        <f>SUM(U47:U56)+SUM(W47:W56)+SUM(Z47:Z56)+SUM(AA47:AA56)</f>
        <v>18760.310000000001</v>
      </c>
    </row>
    <row r="54" spans="1:56" ht="14.25">
      <c r="A54" s="72"/>
      <c r="B54" s="72" t="s">
        <v>26</v>
      </c>
      <c r="C54" s="72" t="s">
        <v>307</v>
      </c>
      <c r="D54" s="57" t="s">
        <v>308</v>
      </c>
      <c r="E54" s="52">
        <f>Source!BZ25</f>
        <v>102</v>
      </c>
      <c r="F54" s="52"/>
      <c r="G54" s="52">
        <f>Source!AT25</f>
        <v>102</v>
      </c>
      <c r="H54" s="51"/>
      <c r="I54" s="58"/>
      <c r="J54" s="51">
        <f>SUM(AG47:AG56)</f>
        <v>789.42</v>
      </c>
      <c r="K54" s="58"/>
      <c r="L54" s="51">
        <f>SUM(AH47:AH56)</f>
        <v>19135.52</v>
      </c>
    </row>
    <row r="55" spans="1:56" ht="14.25">
      <c r="A55" s="74"/>
      <c r="B55" s="74" t="s">
        <v>27</v>
      </c>
      <c r="C55" s="74" t="s">
        <v>309</v>
      </c>
      <c r="D55" s="59" t="s">
        <v>308</v>
      </c>
      <c r="E55" s="60">
        <f>Source!CA25</f>
        <v>54</v>
      </c>
      <c r="F55" s="60"/>
      <c r="G55" s="60">
        <f>Source!AU25</f>
        <v>54</v>
      </c>
      <c r="H55" s="61"/>
      <c r="I55" s="62"/>
      <c r="J55" s="61">
        <f>SUM(AI47:AI56)</f>
        <v>417.93</v>
      </c>
      <c r="K55" s="62"/>
      <c r="L55" s="61">
        <f>SUM(AJ47:AJ56)</f>
        <v>10130.57</v>
      </c>
    </row>
    <row r="56" spans="1:56" ht="15">
      <c r="C56" s="90" t="s">
        <v>310</v>
      </c>
      <c r="D56" s="90"/>
      <c r="E56" s="90"/>
      <c r="F56" s="90"/>
      <c r="G56" s="90"/>
      <c r="H56" s="90"/>
      <c r="I56" s="90">
        <f>J50+J54+J55</f>
        <v>1981.2900000000002</v>
      </c>
      <c r="J56" s="90"/>
      <c r="O56" s="47">
        <f>I56</f>
        <v>1981.2900000000002</v>
      </c>
      <c r="P56">
        <f>K56</f>
        <v>0</v>
      </c>
      <c r="Q56" s="47">
        <f>J50</f>
        <v>773.94</v>
      </c>
      <c r="R56" s="47">
        <f>J50</f>
        <v>773.94</v>
      </c>
      <c r="U56" s="47">
        <f>L50</f>
        <v>18760.310000000001</v>
      </c>
      <c r="X56">
        <f>0</f>
        <v>0</v>
      </c>
      <c r="Z56">
        <f>0</f>
        <v>0</v>
      </c>
      <c r="AB56">
        <f>0</f>
        <v>0</v>
      </c>
      <c r="AD56">
        <f>0</f>
        <v>0</v>
      </c>
      <c r="AF56">
        <f>0</f>
        <v>0</v>
      </c>
      <c r="AN56">
        <f>IF(Source!BI25&lt;=1,J50+J54+J55, 0)</f>
        <v>1981.2900000000002</v>
      </c>
      <c r="AO56">
        <f>IF(Source!BI25&lt;=1,0, 0)</f>
        <v>0</v>
      </c>
      <c r="AP56">
        <f>IF(Source!BI25&lt;=1,0, 0)</f>
        <v>0</v>
      </c>
      <c r="AQ56">
        <f>IF(Source!BI25&lt;=1,J50, 0)</f>
        <v>773.94</v>
      </c>
      <c r="AX56">
        <f>IF(Source!BI25=2,J50+J54+J55, 0)</f>
        <v>0</v>
      </c>
      <c r="AY56">
        <f>IF(Source!BI25=2,0, 0)</f>
        <v>0</v>
      </c>
      <c r="AZ56">
        <f>IF(Source!BI25=2,0, 0)</f>
        <v>0</v>
      </c>
      <c r="BA56">
        <f>IF(Source!BI25=2,J50, 0)</f>
        <v>0</v>
      </c>
    </row>
    <row r="57" spans="1:56" ht="85.5">
      <c r="A57" s="72">
        <v>2</v>
      </c>
      <c r="B57" s="72" t="str">
        <f>Source!F27</f>
        <v>68-35-2</v>
      </c>
      <c r="C57" s="72" t="str">
        <f>Source!G27</f>
        <v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ствола: до 52 см</v>
      </c>
      <c r="D57" s="57" t="str">
        <f>Source!H27</f>
        <v>м3</v>
      </c>
      <c r="E57" s="52">
        <f>Source!K27</f>
        <v>75.040000000000006</v>
      </c>
      <c r="F57" s="52"/>
      <c r="G57" s="52">
        <f>Source!I27</f>
        <v>75.040000000000006</v>
      </c>
      <c r="H57" s="51"/>
      <c r="I57" s="58"/>
      <c r="J57" s="51"/>
      <c r="K57" s="58"/>
      <c r="L57" s="51"/>
      <c r="AG57">
        <f>Source!X27</f>
        <v>1714.52</v>
      </c>
      <c r="AH57">
        <f>Source!HK27</f>
        <v>41559.919999999998</v>
      </c>
      <c r="AI57">
        <f>Source!Y27</f>
        <v>907.69</v>
      </c>
      <c r="AJ57">
        <f>Source!HL27</f>
        <v>22002.31</v>
      </c>
      <c r="AS57">
        <f>IF(Source!BI27&lt;=1,AH57, 0)</f>
        <v>41559.919999999998</v>
      </c>
      <c r="AT57">
        <f>IF(Source!BI27&lt;=1,AJ57, 0)</f>
        <v>22002.31</v>
      </c>
      <c r="BC57">
        <f>IF(Source!BI27=2,AH57, 0)</f>
        <v>0</v>
      </c>
      <c r="BD57">
        <f>IF(Source!BI27=2,AJ57, 0)</f>
        <v>0</v>
      </c>
    </row>
    <row r="59" spans="1:56">
      <c r="C59" s="45" t="str">
        <f>"Объем: "&amp;Source!K27&amp;"=((4,69*"&amp;"16))"</f>
        <v>Объем: 75,04=((4,69*16))</v>
      </c>
    </row>
    <row r="60" spans="1:56" ht="14.25">
      <c r="A60" s="72"/>
      <c r="B60" s="73">
        <v>1</v>
      </c>
      <c r="C60" s="72" t="s">
        <v>302</v>
      </c>
      <c r="D60" s="57"/>
      <c r="E60" s="52"/>
      <c r="F60" s="52"/>
      <c r="G60" s="52"/>
      <c r="H60" s="51">
        <f>Source!AO27</f>
        <v>22.4</v>
      </c>
      <c r="I60" s="58"/>
      <c r="J60" s="51">
        <f>ROUND(Source!AF27*Source!I27, 2)</f>
        <v>1680.9</v>
      </c>
      <c r="K60" s="58">
        <f>IF(Source!BA27&lt;&gt; 0, Source!BA27, 1)</f>
        <v>24.24</v>
      </c>
      <c r="L60" s="51">
        <f>Source!HJ27</f>
        <v>40745.019999999997</v>
      </c>
    </row>
    <row r="61" spans="1:56" ht="14.25">
      <c r="A61" s="72"/>
      <c r="B61" s="72"/>
      <c r="C61" s="74" t="s">
        <v>303</v>
      </c>
      <c r="D61" s="59" t="s">
        <v>304</v>
      </c>
      <c r="E61" s="60">
        <f>Source!AQ27</f>
        <v>2.4700000000000002</v>
      </c>
      <c r="F61" s="60"/>
      <c r="G61" s="60">
        <f>ROUND(Source!U27, 7)</f>
        <v>185.34880000000001</v>
      </c>
      <c r="H61" s="61"/>
      <c r="I61" s="62"/>
      <c r="J61" s="61"/>
      <c r="K61" s="62"/>
      <c r="L61" s="61"/>
    </row>
    <row r="62" spans="1:56" ht="14.25">
      <c r="A62" s="72"/>
      <c r="B62" s="72"/>
      <c r="C62" s="72" t="s">
        <v>305</v>
      </c>
      <c r="D62" s="57"/>
      <c r="E62" s="52"/>
      <c r="F62" s="52"/>
      <c r="G62" s="52"/>
      <c r="H62" s="51">
        <f>H60</f>
        <v>22.4</v>
      </c>
      <c r="I62" s="58"/>
      <c r="J62" s="51">
        <f>J60</f>
        <v>1680.9</v>
      </c>
      <c r="K62" s="58"/>
      <c r="L62" s="51"/>
    </row>
    <row r="63" spans="1:56" ht="14.25">
      <c r="A63" s="72"/>
      <c r="B63" s="72"/>
      <c r="C63" s="72" t="s">
        <v>306</v>
      </c>
      <c r="D63" s="57"/>
      <c r="E63" s="52"/>
      <c r="F63" s="52"/>
      <c r="G63" s="52"/>
      <c r="H63" s="51"/>
      <c r="I63" s="58"/>
      <c r="J63" s="51">
        <f>SUM(Q57:Q66)+SUM(V57:V66)+SUM(X57:X66)+SUM(Y57:Y66)</f>
        <v>1680.9</v>
      </c>
      <c r="K63" s="58"/>
      <c r="L63" s="51">
        <f>SUM(U57:U66)+SUM(W57:W66)+SUM(Z57:Z66)+SUM(AA57:AA66)</f>
        <v>40745.019999999997</v>
      </c>
    </row>
    <row r="64" spans="1:56" ht="14.25">
      <c r="A64" s="72"/>
      <c r="B64" s="72" t="s">
        <v>26</v>
      </c>
      <c r="C64" s="72" t="s">
        <v>307</v>
      </c>
      <c r="D64" s="57" t="s">
        <v>308</v>
      </c>
      <c r="E64" s="52">
        <f>Source!BZ27</f>
        <v>102</v>
      </c>
      <c r="F64" s="52"/>
      <c r="G64" s="52">
        <f>Source!AT27</f>
        <v>102</v>
      </c>
      <c r="H64" s="51"/>
      <c r="I64" s="58"/>
      <c r="J64" s="51">
        <f>SUM(AG57:AG66)</f>
        <v>1714.52</v>
      </c>
      <c r="K64" s="58"/>
      <c r="L64" s="51">
        <f>SUM(AH57:AH66)</f>
        <v>41559.919999999998</v>
      </c>
    </row>
    <row r="65" spans="1:56" ht="14.25">
      <c r="A65" s="74"/>
      <c r="B65" s="74" t="s">
        <v>27</v>
      </c>
      <c r="C65" s="74" t="s">
        <v>309</v>
      </c>
      <c r="D65" s="59" t="s">
        <v>308</v>
      </c>
      <c r="E65" s="60">
        <f>Source!CA27</f>
        <v>54</v>
      </c>
      <c r="F65" s="60"/>
      <c r="G65" s="60">
        <f>Source!AU27</f>
        <v>54</v>
      </c>
      <c r="H65" s="61"/>
      <c r="I65" s="62"/>
      <c r="J65" s="61">
        <f>SUM(AI57:AI66)</f>
        <v>907.69</v>
      </c>
      <c r="K65" s="62"/>
      <c r="L65" s="61">
        <f>SUM(AJ57:AJ66)</f>
        <v>22002.31</v>
      </c>
    </row>
    <row r="66" spans="1:56" ht="15">
      <c r="C66" s="90" t="s">
        <v>310</v>
      </c>
      <c r="D66" s="90"/>
      <c r="E66" s="90"/>
      <c r="F66" s="90"/>
      <c r="G66" s="90"/>
      <c r="H66" s="90"/>
      <c r="I66" s="90">
        <f>J60+J64+J65</f>
        <v>4303.1100000000006</v>
      </c>
      <c r="J66" s="90"/>
      <c r="O66" s="47">
        <f>I66</f>
        <v>4303.1100000000006</v>
      </c>
      <c r="P66">
        <f>K66</f>
        <v>0</v>
      </c>
      <c r="Q66" s="47">
        <f>J60</f>
        <v>1680.9</v>
      </c>
      <c r="R66" s="47">
        <f>J60</f>
        <v>1680.9</v>
      </c>
      <c r="U66" s="47">
        <f>L60</f>
        <v>40745.019999999997</v>
      </c>
      <c r="X66">
        <f>0</f>
        <v>0</v>
      </c>
      <c r="Z66">
        <f>0</f>
        <v>0</v>
      </c>
      <c r="AB66">
        <f>0</f>
        <v>0</v>
      </c>
      <c r="AD66">
        <f>0</f>
        <v>0</v>
      </c>
      <c r="AF66">
        <f>0</f>
        <v>0</v>
      </c>
      <c r="AN66">
        <f>IF(Source!BI27&lt;=1,J60+J64+J65, 0)</f>
        <v>4303.1100000000006</v>
      </c>
      <c r="AO66">
        <f>IF(Source!BI27&lt;=1,0, 0)</f>
        <v>0</v>
      </c>
      <c r="AP66">
        <f>IF(Source!BI27&lt;=1,0, 0)</f>
        <v>0</v>
      </c>
      <c r="AQ66">
        <f>IF(Source!BI27&lt;=1,J60, 0)</f>
        <v>1680.9</v>
      </c>
      <c r="AX66">
        <f>IF(Source!BI27=2,J60+J64+J65, 0)</f>
        <v>0</v>
      </c>
      <c r="AY66">
        <f>IF(Source!BI27=2,0, 0)</f>
        <v>0</v>
      </c>
      <c r="AZ66">
        <f>IF(Source!BI27=2,0, 0)</f>
        <v>0</v>
      </c>
      <c r="BA66">
        <f>IF(Source!BI27=2,J60, 0)</f>
        <v>0</v>
      </c>
    </row>
    <row r="67" spans="1:56" ht="85.5">
      <c r="A67" s="72">
        <v>3</v>
      </c>
      <c r="B67" s="72" t="str">
        <f>Source!F29</f>
        <v>68-35-3</v>
      </c>
      <c r="C67" s="72" t="str">
        <f>Source!G29</f>
        <v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ствола: до 72 см</v>
      </c>
      <c r="D67" s="57" t="str">
        <f>Source!H29</f>
        <v>м3</v>
      </c>
      <c r="E67" s="52">
        <f>Source!K29</f>
        <v>106.29</v>
      </c>
      <c r="F67" s="52"/>
      <c r="G67" s="52">
        <f>Source!I29</f>
        <v>106.29</v>
      </c>
      <c r="H67" s="51"/>
      <c r="I67" s="58"/>
      <c r="J67" s="51"/>
      <c r="K67" s="58"/>
      <c r="L67" s="51"/>
      <c r="AG67">
        <f>Source!X29</f>
        <v>2123.86</v>
      </c>
      <c r="AH67">
        <f>Source!HK29</f>
        <v>51482.47</v>
      </c>
      <c r="AI67">
        <f>Source!Y29</f>
        <v>1124.4000000000001</v>
      </c>
      <c r="AJ67">
        <f>Source!HL29</f>
        <v>27255.43</v>
      </c>
      <c r="AS67">
        <f>IF(Source!BI29&lt;=1,AH67, 0)</f>
        <v>51482.47</v>
      </c>
      <c r="AT67">
        <f>IF(Source!BI29&lt;=1,AJ67, 0)</f>
        <v>27255.43</v>
      </c>
      <c r="BC67">
        <f>IF(Source!BI29=2,AH67, 0)</f>
        <v>0</v>
      </c>
      <c r="BD67">
        <f>IF(Source!BI29=2,AJ67, 0)</f>
        <v>0</v>
      </c>
    </row>
    <row r="69" spans="1:56">
      <c r="C69" s="45" t="str">
        <f>"Объем: "&amp;Source!K29&amp;"=(9,93*"&amp;"8+"&amp;"4,69*"&amp;"2+"&amp;"17,47)"</f>
        <v>Объем: 106,29=(9,93*8+4,69*2+17,47)</v>
      </c>
    </row>
    <row r="70" spans="1:56" ht="14.25">
      <c r="A70" s="72"/>
      <c r="B70" s="73">
        <v>1</v>
      </c>
      <c r="C70" s="72" t="s">
        <v>302</v>
      </c>
      <c r="D70" s="57"/>
      <c r="E70" s="52"/>
      <c r="F70" s="52"/>
      <c r="G70" s="52"/>
      <c r="H70" s="51">
        <f>Source!AO29</f>
        <v>19.59</v>
      </c>
      <c r="I70" s="58"/>
      <c r="J70" s="51">
        <f>ROUND(Source!AF29*Source!I29, 2)</f>
        <v>2082.2199999999998</v>
      </c>
      <c r="K70" s="58">
        <f>IF(Source!BA29&lt;&gt; 0, Source!BA29, 1)</f>
        <v>24.24</v>
      </c>
      <c r="L70" s="51">
        <f>Source!HJ29</f>
        <v>50473.01</v>
      </c>
    </row>
    <row r="71" spans="1:56" ht="14.25">
      <c r="A71" s="72"/>
      <c r="B71" s="72"/>
      <c r="C71" s="74" t="s">
        <v>303</v>
      </c>
      <c r="D71" s="59" t="s">
        <v>304</v>
      </c>
      <c r="E71" s="60">
        <f>Source!AQ29</f>
        <v>2.16</v>
      </c>
      <c r="F71" s="60"/>
      <c r="G71" s="60">
        <f>ROUND(Source!U29, 7)</f>
        <v>229.5864</v>
      </c>
      <c r="H71" s="61"/>
      <c r="I71" s="62"/>
      <c r="J71" s="61"/>
      <c r="K71" s="62"/>
      <c r="L71" s="61"/>
    </row>
    <row r="72" spans="1:56" ht="14.25">
      <c r="A72" s="72"/>
      <c r="B72" s="72"/>
      <c r="C72" s="72" t="s">
        <v>305</v>
      </c>
      <c r="D72" s="57"/>
      <c r="E72" s="52"/>
      <c r="F72" s="52"/>
      <c r="G72" s="52"/>
      <c r="H72" s="51">
        <f>H70</f>
        <v>19.59</v>
      </c>
      <c r="I72" s="58"/>
      <c r="J72" s="51">
        <f>J70</f>
        <v>2082.2199999999998</v>
      </c>
      <c r="K72" s="58"/>
      <c r="L72" s="51"/>
    </row>
    <row r="73" spans="1:56" ht="14.25">
      <c r="A73" s="72"/>
      <c r="B73" s="72"/>
      <c r="C73" s="72" t="s">
        <v>306</v>
      </c>
      <c r="D73" s="57"/>
      <c r="E73" s="52"/>
      <c r="F73" s="52"/>
      <c r="G73" s="52"/>
      <c r="H73" s="51"/>
      <c r="I73" s="58"/>
      <c r="J73" s="51">
        <f>SUM(Q67:Q76)+SUM(V67:V76)+SUM(X67:X76)+SUM(Y67:Y76)</f>
        <v>2082.2199999999998</v>
      </c>
      <c r="K73" s="58"/>
      <c r="L73" s="51">
        <f>SUM(U67:U76)+SUM(W67:W76)+SUM(Z67:Z76)+SUM(AA67:AA76)</f>
        <v>50473.01</v>
      </c>
    </row>
    <row r="74" spans="1:56" ht="14.25">
      <c r="A74" s="72"/>
      <c r="B74" s="72" t="s">
        <v>26</v>
      </c>
      <c r="C74" s="72" t="s">
        <v>307</v>
      </c>
      <c r="D74" s="57" t="s">
        <v>308</v>
      </c>
      <c r="E74" s="52">
        <f>Source!BZ29</f>
        <v>102</v>
      </c>
      <c r="F74" s="52"/>
      <c r="G74" s="52">
        <f>Source!AT29</f>
        <v>102</v>
      </c>
      <c r="H74" s="51"/>
      <c r="I74" s="58"/>
      <c r="J74" s="51">
        <f>SUM(AG67:AG76)</f>
        <v>2123.86</v>
      </c>
      <c r="K74" s="58"/>
      <c r="L74" s="51">
        <f>SUM(AH67:AH76)</f>
        <v>51482.47</v>
      </c>
    </row>
    <row r="75" spans="1:56" ht="14.25">
      <c r="A75" s="74"/>
      <c r="B75" s="74" t="s">
        <v>27</v>
      </c>
      <c r="C75" s="74" t="s">
        <v>309</v>
      </c>
      <c r="D75" s="59" t="s">
        <v>308</v>
      </c>
      <c r="E75" s="60">
        <f>Source!CA29</f>
        <v>54</v>
      </c>
      <c r="F75" s="60"/>
      <c r="G75" s="60">
        <f>Source!AU29</f>
        <v>54</v>
      </c>
      <c r="H75" s="61"/>
      <c r="I75" s="62"/>
      <c r="J75" s="61">
        <f>SUM(AI67:AI76)</f>
        <v>1124.4000000000001</v>
      </c>
      <c r="K75" s="62"/>
      <c r="L75" s="61">
        <f>SUM(AJ67:AJ76)</f>
        <v>27255.43</v>
      </c>
    </row>
    <row r="76" spans="1:56" ht="15">
      <c r="C76" s="90" t="s">
        <v>310</v>
      </c>
      <c r="D76" s="90"/>
      <c r="E76" s="90"/>
      <c r="F76" s="90"/>
      <c r="G76" s="90"/>
      <c r="H76" s="90"/>
      <c r="I76" s="90">
        <f>J70+J74+J75</f>
        <v>5330.48</v>
      </c>
      <c r="J76" s="90"/>
      <c r="O76" s="47">
        <f>I76</f>
        <v>5330.48</v>
      </c>
      <c r="P76">
        <f>K76</f>
        <v>0</v>
      </c>
      <c r="Q76" s="47">
        <f>J70</f>
        <v>2082.2199999999998</v>
      </c>
      <c r="R76" s="47">
        <f>J70</f>
        <v>2082.2199999999998</v>
      </c>
      <c r="U76" s="47">
        <f>L70</f>
        <v>50473.01</v>
      </c>
      <c r="X76">
        <f>0</f>
        <v>0</v>
      </c>
      <c r="Z76">
        <f>0</f>
        <v>0</v>
      </c>
      <c r="AB76">
        <f>0</f>
        <v>0</v>
      </c>
      <c r="AD76">
        <f>0</f>
        <v>0</v>
      </c>
      <c r="AF76">
        <f>0</f>
        <v>0</v>
      </c>
      <c r="AN76">
        <f>IF(Source!BI29&lt;=1,J70+J74+J75, 0)</f>
        <v>5330.48</v>
      </c>
      <c r="AO76">
        <f>IF(Source!BI29&lt;=1,0, 0)</f>
        <v>0</v>
      </c>
      <c r="AP76">
        <f>IF(Source!BI29&lt;=1,0, 0)</f>
        <v>0</v>
      </c>
      <c r="AQ76">
        <f>IF(Source!BI29&lt;=1,J70, 0)</f>
        <v>2082.2199999999998</v>
      </c>
      <c r="AX76">
        <f>IF(Source!BI29=2,J70+J74+J75, 0)</f>
        <v>0</v>
      </c>
      <c r="AY76">
        <f>IF(Source!BI29=2,0, 0)</f>
        <v>0</v>
      </c>
      <c r="AZ76">
        <f>IF(Source!BI29=2,0, 0)</f>
        <v>0</v>
      </c>
      <c r="BA76">
        <f>IF(Source!BI29=2,J70, 0)</f>
        <v>0</v>
      </c>
    </row>
    <row r="77" spans="1:56" ht="71.25">
      <c r="A77" s="72">
        <v>4</v>
      </c>
      <c r="B77" s="72" t="str">
        <f>Source!F31</f>
        <v>68-35-4</v>
      </c>
      <c r="C77" s="72" t="str">
        <f>Source!G31</f>
        <v>Валка деревьев в труднодоступных местах с применением канатного метода страховки без корчевки пня породы тополь при диаметре ствола: до 80 см</v>
      </c>
      <c r="D77" s="57" t="str">
        <f>Source!H31</f>
        <v>м3</v>
      </c>
      <c r="E77" s="52">
        <f>Source!K31</f>
        <v>4.6900000000000004</v>
      </c>
      <c r="F77" s="52"/>
      <c r="G77" s="52">
        <f>Source!I31</f>
        <v>4.6900000000000004</v>
      </c>
      <c r="H77" s="51"/>
      <c r="I77" s="58"/>
      <c r="J77" s="51"/>
      <c r="K77" s="58"/>
      <c r="L77" s="51"/>
      <c r="AG77">
        <f>Source!X31</f>
        <v>85.06</v>
      </c>
      <c r="AH77">
        <f>Source!HK31</f>
        <v>2061.8000000000002</v>
      </c>
      <c r="AI77">
        <f>Source!Y31</f>
        <v>45.03</v>
      </c>
      <c r="AJ77">
        <f>Source!HL31</f>
        <v>1091.54</v>
      </c>
      <c r="AS77">
        <f>IF(Source!BI31&lt;=1,AH77, 0)</f>
        <v>2061.8000000000002</v>
      </c>
      <c r="AT77">
        <f>IF(Source!BI31&lt;=1,AJ77, 0)</f>
        <v>1091.54</v>
      </c>
      <c r="BC77">
        <f>IF(Source!BI31=2,AH77, 0)</f>
        <v>0</v>
      </c>
      <c r="BD77">
        <f>IF(Source!BI31=2,AJ77, 0)</f>
        <v>0</v>
      </c>
    </row>
    <row r="79" spans="1:56" ht="14.25">
      <c r="A79" s="72"/>
      <c r="B79" s="73">
        <v>1</v>
      </c>
      <c r="C79" s="72" t="s">
        <v>302</v>
      </c>
      <c r="D79" s="57"/>
      <c r="E79" s="52"/>
      <c r="F79" s="52"/>
      <c r="G79" s="52"/>
      <c r="H79" s="51">
        <f>Source!AO31</f>
        <v>17.78</v>
      </c>
      <c r="I79" s="58"/>
      <c r="J79" s="51">
        <f>ROUND(Source!AF31*Source!I31, 2)</f>
        <v>83.39</v>
      </c>
      <c r="K79" s="58">
        <f>IF(Source!BA31&lt;&gt; 0, Source!BA31, 1)</f>
        <v>24.24</v>
      </c>
      <c r="L79" s="51">
        <f>Source!HJ31</f>
        <v>2021.37</v>
      </c>
    </row>
    <row r="80" spans="1:56" ht="14.25">
      <c r="A80" s="72"/>
      <c r="B80" s="72"/>
      <c r="C80" s="74" t="s">
        <v>303</v>
      </c>
      <c r="D80" s="59" t="s">
        <v>304</v>
      </c>
      <c r="E80" s="60">
        <f>Source!AQ31</f>
        <v>1.96</v>
      </c>
      <c r="F80" s="60"/>
      <c r="G80" s="60">
        <f>ROUND(Source!U31, 7)</f>
        <v>9.1923999999999992</v>
      </c>
      <c r="H80" s="61"/>
      <c r="I80" s="62"/>
      <c r="J80" s="61"/>
      <c r="K80" s="62"/>
      <c r="L80" s="61"/>
    </row>
    <row r="81" spans="1:56" ht="14.25">
      <c r="A81" s="72"/>
      <c r="B81" s="72"/>
      <c r="C81" s="72" t="s">
        <v>305</v>
      </c>
      <c r="D81" s="57"/>
      <c r="E81" s="52"/>
      <c r="F81" s="52"/>
      <c r="G81" s="52"/>
      <c r="H81" s="51">
        <f>H79</f>
        <v>17.78</v>
      </c>
      <c r="I81" s="58"/>
      <c r="J81" s="51">
        <f>J79</f>
        <v>83.39</v>
      </c>
      <c r="K81" s="58"/>
      <c r="L81" s="51"/>
    </row>
    <row r="82" spans="1:56" ht="14.25">
      <c r="A82" s="72"/>
      <c r="B82" s="72"/>
      <c r="C82" s="72" t="s">
        <v>306</v>
      </c>
      <c r="D82" s="57"/>
      <c r="E82" s="52"/>
      <c r="F82" s="52"/>
      <c r="G82" s="52"/>
      <c r="H82" s="51"/>
      <c r="I82" s="58"/>
      <c r="J82" s="51">
        <f>SUM(Q77:Q85)+SUM(V77:V85)+SUM(X77:X85)+SUM(Y77:Y85)</f>
        <v>83.39</v>
      </c>
      <c r="K82" s="58"/>
      <c r="L82" s="51">
        <f>SUM(U77:U85)+SUM(W77:W85)+SUM(Z77:Z85)+SUM(AA77:AA85)</f>
        <v>2021.37</v>
      </c>
    </row>
    <row r="83" spans="1:56" ht="14.25">
      <c r="A83" s="72"/>
      <c r="B83" s="72" t="s">
        <v>26</v>
      </c>
      <c r="C83" s="72" t="s">
        <v>307</v>
      </c>
      <c r="D83" s="57" t="s">
        <v>308</v>
      </c>
      <c r="E83" s="52">
        <f>Source!BZ31</f>
        <v>102</v>
      </c>
      <c r="F83" s="52"/>
      <c r="G83" s="52">
        <f>Source!AT31</f>
        <v>102</v>
      </c>
      <c r="H83" s="51"/>
      <c r="I83" s="58"/>
      <c r="J83" s="51">
        <f>SUM(AG77:AG85)</f>
        <v>85.06</v>
      </c>
      <c r="K83" s="58"/>
      <c r="L83" s="51">
        <f>SUM(AH77:AH85)</f>
        <v>2061.8000000000002</v>
      </c>
    </row>
    <row r="84" spans="1:56" ht="14.25">
      <c r="A84" s="74"/>
      <c r="B84" s="74" t="s">
        <v>27</v>
      </c>
      <c r="C84" s="74" t="s">
        <v>309</v>
      </c>
      <c r="D84" s="59" t="s">
        <v>308</v>
      </c>
      <c r="E84" s="60">
        <f>Source!CA31</f>
        <v>54</v>
      </c>
      <c r="F84" s="60"/>
      <c r="G84" s="60">
        <f>Source!AU31</f>
        <v>54</v>
      </c>
      <c r="H84" s="61"/>
      <c r="I84" s="62"/>
      <c r="J84" s="61">
        <f>SUM(AI77:AI85)</f>
        <v>45.03</v>
      </c>
      <c r="K84" s="62"/>
      <c r="L84" s="61">
        <f>SUM(AJ77:AJ85)</f>
        <v>1091.54</v>
      </c>
    </row>
    <row r="85" spans="1:56" ht="15">
      <c r="C85" s="90" t="s">
        <v>310</v>
      </c>
      <c r="D85" s="90"/>
      <c r="E85" s="90"/>
      <c r="F85" s="90"/>
      <c r="G85" s="90"/>
      <c r="H85" s="90"/>
      <c r="I85" s="90">
        <f>J79+J83+J84</f>
        <v>213.48</v>
      </c>
      <c r="J85" s="90"/>
      <c r="O85" s="47">
        <f>I85</f>
        <v>213.48</v>
      </c>
      <c r="P85">
        <f>K85</f>
        <v>0</v>
      </c>
      <c r="Q85" s="47">
        <f>J79</f>
        <v>83.39</v>
      </c>
      <c r="R85" s="47">
        <f>J79</f>
        <v>83.39</v>
      </c>
      <c r="U85" s="47">
        <f>L79</f>
        <v>2021.37</v>
      </c>
      <c r="X85">
        <f>0</f>
        <v>0</v>
      </c>
      <c r="Z85">
        <f>0</f>
        <v>0</v>
      </c>
      <c r="AB85">
        <f>0</f>
        <v>0</v>
      </c>
      <c r="AD85">
        <f>0</f>
        <v>0</v>
      </c>
      <c r="AF85">
        <f>0</f>
        <v>0</v>
      </c>
      <c r="AN85">
        <f>IF(Source!BI31&lt;=1,J79+J83+J84, 0)</f>
        <v>213.48</v>
      </c>
      <c r="AO85">
        <f>IF(Source!BI31&lt;=1,0, 0)</f>
        <v>0</v>
      </c>
      <c r="AP85">
        <f>IF(Source!BI31&lt;=1,0, 0)</f>
        <v>0</v>
      </c>
      <c r="AQ85">
        <f>IF(Source!BI31&lt;=1,J79, 0)</f>
        <v>83.39</v>
      </c>
      <c r="AX85">
        <f>IF(Source!BI31=2,J79+J83+J84, 0)</f>
        <v>0</v>
      </c>
      <c r="AY85">
        <f>IF(Source!BI31=2,0, 0)</f>
        <v>0</v>
      </c>
      <c r="AZ85">
        <f>IF(Source!BI31=2,0, 0)</f>
        <v>0</v>
      </c>
      <c r="BA85">
        <f>IF(Source!BI31=2,J79, 0)</f>
        <v>0</v>
      </c>
    </row>
    <row r="86" spans="1:56" ht="42.75">
      <c r="A86" s="72">
        <v>5</v>
      </c>
      <c r="B86" s="72" t="str">
        <f>Source!F33</f>
        <v>01-02-119-02</v>
      </c>
      <c r="C86" s="72" t="str">
        <f>Source!G33</f>
        <v>Расчистка площадей от кустарника и мелколесья вручную: при средней поросли</v>
      </c>
      <c r="D86" s="57" t="str">
        <f>Source!H33</f>
        <v>100 м2</v>
      </c>
      <c r="E86" s="52">
        <f>Source!K33</f>
        <v>8</v>
      </c>
      <c r="F86" s="52"/>
      <c r="G86" s="52">
        <f>Source!I33</f>
        <v>8</v>
      </c>
      <c r="H86" s="51"/>
      <c r="I86" s="58"/>
      <c r="J86" s="51"/>
      <c r="K86" s="58"/>
      <c r="L86" s="51"/>
      <c r="AG86">
        <f>Source!X33</f>
        <v>269.06</v>
      </c>
      <c r="AH86">
        <f>Source!HK33</f>
        <v>6522.13</v>
      </c>
      <c r="AI86">
        <f>Source!Y33</f>
        <v>123.95</v>
      </c>
      <c r="AJ86">
        <f>Source!HL33</f>
        <v>3004.58</v>
      </c>
      <c r="AS86">
        <f>IF(Source!BI33&lt;=1,AH86, 0)</f>
        <v>6522.13</v>
      </c>
      <c r="AT86">
        <f>IF(Source!BI33&lt;=1,AJ86, 0)</f>
        <v>3004.58</v>
      </c>
      <c r="BC86">
        <f>IF(Source!BI33=2,AH86, 0)</f>
        <v>0</v>
      </c>
      <c r="BD86">
        <f>IF(Source!BI33=2,AJ86, 0)</f>
        <v>0</v>
      </c>
    </row>
    <row r="88" spans="1:56">
      <c r="C88" s="45" t="str">
        <f>"Объем: "&amp;Source!K33&amp;"=800/"&amp;"100"</f>
        <v>Объем: 8=800/100</v>
      </c>
    </row>
    <row r="89" spans="1:56" ht="14.25">
      <c r="A89" s="72"/>
      <c r="B89" s="73">
        <v>1</v>
      </c>
      <c r="C89" s="72" t="s">
        <v>302</v>
      </c>
      <c r="D89" s="57"/>
      <c r="E89" s="52"/>
      <c r="F89" s="52"/>
      <c r="G89" s="52"/>
      <c r="H89" s="51">
        <f>Source!AO33</f>
        <v>37.79</v>
      </c>
      <c r="I89" s="58"/>
      <c r="J89" s="51">
        <f>ROUND(Source!AF33*Source!I33, 2)</f>
        <v>302.32</v>
      </c>
      <c r="K89" s="58">
        <f>IF(Source!BA33&lt;&gt; 0, Source!BA33, 1)</f>
        <v>24.24</v>
      </c>
      <c r="L89" s="51">
        <f>Source!HJ33</f>
        <v>7328.24</v>
      </c>
    </row>
    <row r="90" spans="1:56" ht="14.25">
      <c r="A90" s="72"/>
      <c r="B90" s="72"/>
      <c r="C90" s="74" t="s">
        <v>303</v>
      </c>
      <c r="D90" s="59" t="s">
        <v>304</v>
      </c>
      <c r="E90" s="60">
        <f>Source!AQ33</f>
        <v>4.43</v>
      </c>
      <c r="F90" s="60"/>
      <c r="G90" s="60">
        <f>ROUND(Source!U33, 7)</f>
        <v>35.44</v>
      </c>
      <c r="H90" s="61"/>
      <c r="I90" s="62"/>
      <c r="J90" s="61"/>
      <c r="K90" s="62"/>
      <c r="L90" s="61"/>
    </row>
    <row r="91" spans="1:56" ht="14.25">
      <c r="A91" s="72"/>
      <c r="B91" s="72"/>
      <c r="C91" s="72" t="s">
        <v>305</v>
      </c>
      <c r="D91" s="57"/>
      <c r="E91" s="52"/>
      <c r="F91" s="52"/>
      <c r="G91" s="52"/>
      <c r="H91" s="51">
        <f>H89</f>
        <v>37.79</v>
      </c>
      <c r="I91" s="58"/>
      <c r="J91" s="51">
        <f>J89</f>
        <v>302.32</v>
      </c>
      <c r="K91" s="58"/>
      <c r="L91" s="51"/>
    </row>
    <row r="92" spans="1:56" ht="14.25">
      <c r="A92" s="72"/>
      <c r="B92" s="72"/>
      <c r="C92" s="72" t="s">
        <v>306</v>
      </c>
      <c r="D92" s="57"/>
      <c r="E92" s="52"/>
      <c r="F92" s="52"/>
      <c r="G92" s="52"/>
      <c r="H92" s="51"/>
      <c r="I92" s="58"/>
      <c r="J92" s="51">
        <f>SUM(Q86:Q95)+SUM(V86:V95)+SUM(X86:X95)+SUM(Y86:Y95)</f>
        <v>302.32</v>
      </c>
      <c r="K92" s="58"/>
      <c r="L92" s="51">
        <f>SUM(U86:U95)+SUM(W86:W95)+SUM(Z86:Z95)+SUM(AA86:AA95)</f>
        <v>7328.24</v>
      </c>
    </row>
    <row r="93" spans="1:56" ht="57">
      <c r="A93" s="72"/>
      <c r="B93" s="72" t="s">
        <v>49</v>
      </c>
      <c r="C93" s="72" t="s">
        <v>311</v>
      </c>
      <c r="D93" s="57" t="s">
        <v>308</v>
      </c>
      <c r="E93" s="52">
        <f>Source!BZ33</f>
        <v>89</v>
      </c>
      <c r="F93" s="52"/>
      <c r="G93" s="52">
        <f>Source!AT33</f>
        <v>89</v>
      </c>
      <c r="H93" s="51"/>
      <c r="I93" s="58"/>
      <c r="J93" s="51">
        <f>SUM(AG86:AG95)</f>
        <v>269.06</v>
      </c>
      <c r="K93" s="58"/>
      <c r="L93" s="51">
        <f>SUM(AH86:AH95)</f>
        <v>6522.13</v>
      </c>
    </row>
    <row r="94" spans="1:56" ht="57">
      <c r="A94" s="74"/>
      <c r="B94" s="74" t="s">
        <v>50</v>
      </c>
      <c r="C94" s="74" t="s">
        <v>312</v>
      </c>
      <c r="D94" s="59" t="s">
        <v>308</v>
      </c>
      <c r="E94" s="60">
        <f>Source!CA33</f>
        <v>41</v>
      </c>
      <c r="F94" s="60"/>
      <c r="G94" s="60">
        <f>Source!AU33</f>
        <v>41</v>
      </c>
      <c r="H94" s="61"/>
      <c r="I94" s="62"/>
      <c r="J94" s="61">
        <f>SUM(AI86:AI95)</f>
        <v>123.95</v>
      </c>
      <c r="K94" s="62"/>
      <c r="L94" s="61">
        <f>SUM(AJ86:AJ95)</f>
        <v>3004.58</v>
      </c>
    </row>
    <row r="95" spans="1:56" ht="15">
      <c r="C95" s="90" t="s">
        <v>310</v>
      </c>
      <c r="D95" s="90"/>
      <c r="E95" s="90"/>
      <c r="F95" s="90"/>
      <c r="G95" s="90"/>
      <c r="H95" s="90"/>
      <c r="I95" s="90">
        <f>J89+J93+J94</f>
        <v>695.33</v>
      </c>
      <c r="J95" s="90"/>
      <c r="O95" s="47">
        <f>I95</f>
        <v>695.33</v>
      </c>
      <c r="P95">
        <f>K95</f>
        <v>0</v>
      </c>
      <c r="Q95" s="47">
        <f>J89</f>
        <v>302.32</v>
      </c>
      <c r="R95" s="47">
        <f>J89</f>
        <v>302.32</v>
      </c>
      <c r="U95" s="47">
        <f>L89</f>
        <v>7328.24</v>
      </c>
      <c r="X95">
        <f>0</f>
        <v>0</v>
      </c>
      <c r="Z95">
        <f>0</f>
        <v>0</v>
      </c>
      <c r="AB95">
        <f>0</f>
        <v>0</v>
      </c>
      <c r="AD95">
        <f>0</f>
        <v>0</v>
      </c>
      <c r="AF95">
        <f>0</f>
        <v>0</v>
      </c>
      <c r="AN95">
        <f>IF(Source!BI33&lt;=1,J89+J93+J94, 0)</f>
        <v>695.33</v>
      </c>
      <c r="AO95">
        <f>IF(Source!BI33&lt;=1,0, 0)</f>
        <v>0</v>
      </c>
      <c r="AP95">
        <f>IF(Source!BI33&lt;=1,0, 0)</f>
        <v>0</v>
      </c>
      <c r="AQ95">
        <f>IF(Source!BI33&lt;=1,J89, 0)</f>
        <v>302.32</v>
      </c>
      <c r="AX95">
        <f>IF(Source!BI33=2,J89+J93+J94, 0)</f>
        <v>0</v>
      </c>
      <c r="AY95">
        <f>IF(Source!BI33=2,0, 0)</f>
        <v>0</v>
      </c>
      <c r="AZ95">
        <f>IF(Source!BI33=2,0, 0)</f>
        <v>0</v>
      </c>
      <c r="BA95">
        <f>IF(Source!BI33=2,J89, 0)</f>
        <v>0</v>
      </c>
    </row>
    <row r="96" spans="1:56" ht="42.75">
      <c r="A96" s="72">
        <v>6</v>
      </c>
      <c r="B96" s="72" t="str">
        <f>Source!F35</f>
        <v>т01-01-01-041</v>
      </c>
      <c r="C96" s="72" t="str">
        <f>Source!G35</f>
        <v>Погрузочные работы при автомобильных перевозках мусора строительного с погрузкой вручную</v>
      </c>
      <c r="D96" s="57" t="str">
        <f>Source!H35</f>
        <v>1 Т ГРУЗА</v>
      </c>
      <c r="E96" s="52">
        <f>Source!K35</f>
        <v>129.38999999999999</v>
      </c>
      <c r="F96" s="52"/>
      <c r="G96" s="52">
        <f>Source!I35</f>
        <v>129.38999999999999</v>
      </c>
      <c r="H96" s="51">
        <f>Source!AK35</f>
        <v>42.98</v>
      </c>
      <c r="I96" s="58"/>
      <c r="J96" s="51">
        <f>ROUND(Source!AB35*Source!I35, 2)</f>
        <v>5561.18</v>
      </c>
      <c r="K96" s="58"/>
      <c r="L96" s="51"/>
      <c r="AG96">
        <f>Source!X35</f>
        <v>0</v>
      </c>
      <c r="AH96">
        <f>Source!HK35</f>
        <v>0</v>
      </c>
      <c r="AI96">
        <f>Source!Y35</f>
        <v>0</v>
      </c>
      <c r="AJ96">
        <f>Source!HL35</f>
        <v>0</v>
      </c>
      <c r="AS96">
        <f>IF(Source!BI35&lt;=1,AH96, 0)</f>
        <v>0</v>
      </c>
      <c r="AT96">
        <f>IF(Source!BI35&lt;=1,AJ96, 0)</f>
        <v>0</v>
      </c>
      <c r="BC96">
        <f>IF(Source!BI35=2,AH96, 0)</f>
        <v>0</v>
      </c>
      <c r="BD96">
        <f>IF(Source!BI35=2,AJ96, 0)</f>
        <v>0</v>
      </c>
    </row>
    <row r="98" spans="1:61">
      <c r="A98" s="48"/>
      <c r="B98" s="48"/>
      <c r="C98" s="49" t="str">
        <f>"Объем: "&amp;Source!K35&amp;"=215,65*"&amp;"0,6"</f>
        <v>Объем: 129,39=215,65*0,6</v>
      </c>
      <c r="D98" s="48"/>
      <c r="E98" s="48"/>
      <c r="F98" s="48"/>
      <c r="G98" s="48"/>
      <c r="H98" s="48"/>
      <c r="I98" s="48"/>
      <c r="J98" s="48"/>
      <c r="K98" s="48"/>
      <c r="L98" s="48"/>
    </row>
    <row r="99" spans="1:61" ht="15">
      <c r="C99" s="90" t="s">
        <v>310</v>
      </c>
      <c r="D99" s="90"/>
      <c r="E99" s="90"/>
      <c r="F99" s="90"/>
      <c r="G99" s="90"/>
      <c r="H99" s="90"/>
      <c r="I99" s="90">
        <f>J96</f>
        <v>5561.18</v>
      </c>
      <c r="J99" s="90"/>
      <c r="O99" s="47">
        <f>I99</f>
        <v>5561.18</v>
      </c>
      <c r="P99">
        <f>K99</f>
        <v>0</v>
      </c>
      <c r="R99">
        <f>0</f>
        <v>0</v>
      </c>
      <c r="V99">
        <f>0</f>
        <v>0</v>
      </c>
      <c r="W99">
        <f>0</f>
        <v>0</v>
      </c>
      <c r="Y99">
        <f>0</f>
        <v>0</v>
      </c>
      <c r="AA99">
        <f>0</f>
        <v>0</v>
      </c>
      <c r="AC99">
        <f>0</f>
        <v>0</v>
      </c>
      <c r="AE99">
        <f>0</f>
        <v>0</v>
      </c>
      <c r="AF99">
        <f>0</f>
        <v>0</v>
      </c>
      <c r="AO99">
        <f>IF(Source!BI35&lt;=1,0, 0)</f>
        <v>0</v>
      </c>
      <c r="AR99">
        <f>IF(Source!BI35&lt;=1,J96, 0)</f>
        <v>5561.18</v>
      </c>
      <c r="AY99">
        <f>IF(Source!BI35=2,0, 0)</f>
        <v>0</v>
      </c>
      <c r="BB99">
        <f>IF(Source!BI35=2,J96, 0)</f>
        <v>0</v>
      </c>
      <c r="BI99">
        <f>IF(Source!BI35=3,J96, 0)</f>
        <v>0</v>
      </c>
    </row>
    <row r="100" spans="1:61" ht="57">
      <c r="A100" s="72">
        <v>7</v>
      </c>
      <c r="B100" s="72" t="str">
        <f>Source!F37</f>
        <v>т03-21-01-005</v>
      </c>
      <c r="C100" s="72" t="str">
        <f>Source!G37</f>
        <v>Перевозка грузов I класса автомобилями-самосвалами грузоподъемностью 10 т работающих вне карьера на расстояние до 5 км</v>
      </c>
      <c r="D100" s="57" t="str">
        <f>Source!H37</f>
        <v>1 Т ГРУЗА</v>
      </c>
      <c r="E100" s="52">
        <f>Source!K37</f>
        <v>129.38999999999999</v>
      </c>
      <c r="F100" s="52"/>
      <c r="G100" s="52">
        <f>Source!I37</f>
        <v>129.38999999999999</v>
      </c>
      <c r="H100" s="51">
        <f>Source!AK37</f>
        <v>6.69</v>
      </c>
      <c r="I100" s="58"/>
      <c r="J100" s="51">
        <f>ROUND(Source!AB37*Source!I37, 2)</f>
        <v>865.62</v>
      </c>
      <c r="K100" s="58"/>
      <c r="L100" s="51"/>
      <c r="AG100">
        <f>Source!X37</f>
        <v>0</v>
      </c>
      <c r="AH100">
        <f>Source!HK37</f>
        <v>0</v>
      </c>
      <c r="AI100">
        <f>Source!Y37</f>
        <v>0</v>
      </c>
      <c r="AJ100">
        <f>Source!HL37</f>
        <v>0</v>
      </c>
      <c r="AS100">
        <f>IF(Source!BI37&lt;=1,AH100, 0)</f>
        <v>0</v>
      </c>
      <c r="AT100">
        <f>IF(Source!BI37&lt;=1,AJ100, 0)</f>
        <v>0</v>
      </c>
      <c r="BC100">
        <f>IF(Source!BI37=2,AH100, 0)</f>
        <v>0</v>
      </c>
      <c r="BD100">
        <f>IF(Source!BI37=2,AJ100, 0)</f>
        <v>0</v>
      </c>
    </row>
    <row r="101" spans="1:61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</row>
    <row r="102" spans="1:61" ht="15">
      <c r="C102" s="90" t="s">
        <v>310</v>
      </c>
      <c r="D102" s="90"/>
      <c r="E102" s="90"/>
      <c r="F102" s="90"/>
      <c r="G102" s="90"/>
      <c r="H102" s="90"/>
      <c r="I102" s="90">
        <f>J100</f>
        <v>865.62</v>
      </c>
      <c r="J102" s="90"/>
      <c r="O102" s="47">
        <f>I102</f>
        <v>865.62</v>
      </c>
      <c r="P102">
        <f>K102</f>
        <v>0</v>
      </c>
      <c r="R102">
        <f>0</f>
        <v>0</v>
      </c>
      <c r="V102">
        <f>0</f>
        <v>0</v>
      </c>
      <c r="W102">
        <f>0</f>
        <v>0</v>
      </c>
      <c r="Y102">
        <f>0</f>
        <v>0</v>
      </c>
      <c r="AA102">
        <f>0</f>
        <v>0</v>
      </c>
      <c r="AC102">
        <f>0</f>
        <v>0</v>
      </c>
      <c r="AE102">
        <f>0</f>
        <v>0</v>
      </c>
      <c r="AF102">
        <f>0</f>
        <v>0</v>
      </c>
      <c r="AO102">
        <f>IF(Source!BI37&lt;=1,0, 0)</f>
        <v>0</v>
      </c>
      <c r="AR102">
        <f>IF(Source!BI37&lt;=1,J100, 0)</f>
        <v>865.62</v>
      </c>
      <c r="AY102">
        <f>IF(Source!BI37=2,0, 0)</f>
        <v>0</v>
      </c>
      <c r="BB102">
        <f>IF(Source!BI37=2,J100, 0)</f>
        <v>0</v>
      </c>
      <c r="BI102">
        <f>IF(Source!BI37=3,J100, 0)</f>
        <v>0</v>
      </c>
    </row>
    <row r="104" spans="1:61" ht="15">
      <c r="A104" s="64"/>
      <c r="B104" s="65"/>
      <c r="C104" s="92" t="s">
        <v>313</v>
      </c>
      <c r="D104" s="92"/>
      <c r="E104" s="92"/>
      <c r="F104" s="92"/>
      <c r="G104" s="92"/>
      <c r="H104" s="92"/>
      <c r="I104" s="66"/>
      <c r="J104" s="67"/>
      <c r="K104" s="67"/>
      <c r="L104" s="67"/>
    </row>
    <row r="105" spans="1:61" ht="15">
      <c r="A105" s="64"/>
      <c r="B105" s="65"/>
      <c r="C105" s="92" t="s">
        <v>314</v>
      </c>
      <c r="D105" s="92"/>
      <c r="E105" s="92"/>
      <c r="F105" s="92"/>
      <c r="G105" s="92"/>
      <c r="H105" s="92"/>
      <c r="I105" s="66"/>
      <c r="J105" s="67">
        <f>J107+J108+J109+J110</f>
        <v>11349.57</v>
      </c>
      <c r="K105" s="67"/>
      <c r="L105" s="67">
        <f>L107+L108+L109+L110</f>
        <v>180511.09</v>
      </c>
    </row>
    <row r="106" spans="1:61" ht="14.25">
      <c r="A106" s="68"/>
      <c r="B106" s="69"/>
      <c r="C106" s="91" t="s">
        <v>315</v>
      </c>
      <c r="D106" s="89"/>
      <c r="E106" s="89"/>
      <c r="F106" s="89"/>
      <c r="G106" s="89"/>
      <c r="H106" s="89"/>
      <c r="I106" s="70"/>
      <c r="J106" s="71"/>
      <c r="K106" s="71"/>
      <c r="L106" s="71"/>
    </row>
    <row r="107" spans="1:61" ht="14.25">
      <c r="A107" s="68"/>
      <c r="B107" s="69"/>
      <c r="C107" s="89" t="s">
        <v>316</v>
      </c>
      <c r="D107" s="89"/>
      <c r="E107" s="89"/>
      <c r="F107" s="89"/>
      <c r="G107" s="89"/>
      <c r="H107" s="89"/>
      <c r="I107" s="70"/>
      <c r="J107" s="71">
        <f>SUM(Q47:Q102)</f>
        <v>4922.7699999999995</v>
      </c>
      <c r="K107" s="71"/>
      <c r="L107" s="71">
        <f>SUM(U47:U102)</f>
        <v>119327.95</v>
      </c>
    </row>
    <row r="108" spans="1:61" ht="14.25" hidden="1" customHeight="1">
      <c r="A108" s="68"/>
      <c r="B108" s="69" t="str">
        <f>Source!V162</f>
        <v/>
      </c>
      <c r="C108" s="89" t="s">
        <v>317</v>
      </c>
      <c r="D108" s="89"/>
      <c r="E108" s="89"/>
      <c r="F108" s="89"/>
      <c r="G108" s="89"/>
      <c r="H108" s="89"/>
      <c r="I108" s="70"/>
      <c r="J108" s="71">
        <f>SUM(AB47:AB102)</f>
        <v>0</v>
      </c>
      <c r="K108" s="71">
        <f>Source!E162</f>
        <v>9.52</v>
      </c>
      <c r="L108" s="71">
        <f>ROUND(J108*K108, 2)</f>
        <v>0</v>
      </c>
    </row>
    <row r="109" spans="1:61" ht="14.25" hidden="1" customHeight="1">
      <c r="A109" s="68"/>
      <c r="B109" s="69" t="str">
        <f>Source!U162</f>
        <v/>
      </c>
      <c r="C109" s="89" t="s">
        <v>318</v>
      </c>
      <c r="D109" s="89"/>
      <c r="E109" s="89"/>
      <c r="F109" s="89"/>
      <c r="G109" s="89"/>
      <c r="H109" s="89"/>
      <c r="I109" s="70"/>
      <c r="J109" s="71">
        <f>SUM(AF47:AF102)-J114</f>
        <v>0</v>
      </c>
      <c r="K109" s="71">
        <f>Source!D162</f>
        <v>6.74</v>
      </c>
      <c r="L109" s="71">
        <f>ROUND(J109*K109, 2)</f>
        <v>0</v>
      </c>
    </row>
    <row r="110" spans="1:61" ht="14.25">
      <c r="A110" s="68"/>
      <c r="B110" s="69" t="str">
        <f>Source!AB162</f>
        <v/>
      </c>
      <c r="C110" s="89" t="s">
        <v>319</v>
      </c>
      <c r="D110" s="89"/>
      <c r="E110" s="89"/>
      <c r="F110" s="89"/>
      <c r="G110" s="89"/>
      <c r="H110" s="89"/>
      <c r="I110" s="70"/>
      <c r="J110" s="71">
        <f>SUM(AR47:AR102)+SUM(BB47:BB102)+SUM(BI47:BI102)+SUM(BP47:BP102)</f>
        <v>6426.8</v>
      </c>
      <c r="K110" s="71">
        <f>Source!L162</f>
        <v>9.52</v>
      </c>
      <c r="L110" s="71">
        <f>ROUND(J110*K110, 2)</f>
        <v>61183.14</v>
      </c>
    </row>
    <row r="111" spans="1:61" ht="14.25">
      <c r="A111" s="68"/>
      <c r="B111" s="69"/>
      <c r="C111" s="89" t="s">
        <v>320</v>
      </c>
      <c r="D111" s="89"/>
      <c r="E111" s="89"/>
      <c r="F111" s="89"/>
      <c r="G111" s="89"/>
      <c r="H111" s="89"/>
      <c r="I111" s="70"/>
      <c r="J111" s="71">
        <f>SUM(Q47:Q102)+SUM(X47:X102)</f>
        <v>4922.7699999999995</v>
      </c>
      <c r="K111" s="71"/>
      <c r="L111" s="71">
        <f>SUM(U47:U102)+SUM(Z47:Z102)</f>
        <v>119327.95</v>
      </c>
    </row>
    <row r="112" spans="1:61" ht="14.25">
      <c r="A112" s="68"/>
      <c r="B112" s="69"/>
      <c r="C112" s="89" t="s">
        <v>321</v>
      </c>
      <c r="D112" s="89"/>
      <c r="E112" s="89"/>
      <c r="F112" s="89"/>
      <c r="G112" s="89"/>
      <c r="H112" s="89"/>
      <c r="I112" s="70"/>
      <c r="J112" s="71">
        <f>SUM(AG47:AG102)</f>
        <v>4981.920000000001</v>
      </c>
      <c r="K112" s="71"/>
      <c r="L112" s="71">
        <f>SUM(AH47:AH102)</f>
        <v>120761.84000000001</v>
      </c>
    </row>
    <row r="113" spans="1:97" ht="14.25">
      <c r="A113" s="68"/>
      <c r="B113" s="69"/>
      <c r="C113" s="89" t="s">
        <v>322</v>
      </c>
      <c r="D113" s="89"/>
      <c r="E113" s="89"/>
      <c r="F113" s="89"/>
      <c r="G113" s="89"/>
      <c r="H113" s="89"/>
      <c r="I113" s="70"/>
      <c r="J113" s="71">
        <f>SUM(AI47:AI102)</f>
        <v>2619.0000000000005</v>
      </c>
      <c r="K113" s="71"/>
      <c r="L113" s="71">
        <f>SUM(AJ47:AJ102)</f>
        <v>63484.43</v>
      </c>
    </row>
    <row r="114" spans="1:97" ht="14.25" hidden="1" customHeight="1">
      <c r="A114" s="68"/>
      <c r="B114" s="69" t="str">
        <f>Source!Y162</f>
        <v/>
      </c>
      <c r="C114" s="89" t="s">
        <v>323</v>
      </c>
      <c r="D114" s="89"/>
      <c r="E114" s="89"/>
      <c r="F114" s="89"/>
      <c r="G114" s="89"/>
      <c r="H114" s="89"/>
      <c r="I114" s="70"/>
      <c r="J114" s="71">
        <f>SUM(BH47:BH102)</f>
        <v>0</v>
      </c>
      <c r="K114" s="71">
        <f>Source!H162</f>
        <v>1</v>
      </c>
      <c r="L114" s="71">
        <f>ROUND(J114*K114, 2)</f>
        <v>0</v>
      </c>
    </row>
    <row r="115" spans="1:97" ht="14.25" hidden="1" customHeight="1">
      <c r="A115" s="68"/>
      <c r="B115" s="69"/>
      <c r="C115" s="89" t="s">
        <v>324</v>
      </c>
      <c r="D115" s="89"/>
      <c r="E115" s="89"/>
      <c r="F115" s="89"/>
      <c r="G115" s="89"/>
      <c r="H115" s="89"/>
      <c r="I115" s="70"/>
      <c r="J115" s="71">
        <f>J118+J117</f>
        <v>0</v>
      </c>
      <c r="K115" s="71"/>
      <c r="L115" s="71">
        <f>ROUND(L118+L117, 2)</f>
        <v>0</v>
      </c>
    </row>
    <row r="116" spans="1:97" ht="14.25" hidden="1" customHeight="1">
      <c r="A116" s="68"/>
      <c r="B116" s="69"/>
      <c r="C116" s="91" t="s">
        <v>315</v>
      </c>
      <c r="D116" s="89"/>
      <c r="E116" s="89"/>
      <c r="F116" s="89"/>
      <c r="G116" s="89"/>
      <c r="H116" s="89"/>
      <c r="I116" s="70"/>
      <c r="J116" s="71"/>
      <c r="K116" s="71"/>
      <c r="L116" s="71"/>
    </row>
    <row r="117" spans="1:97" ht="14.25" hidden="1" customHeight="1">
      <c r="A117" s="68"/>
      <c r="B117" s="69" t="str">
        <f>Source!AA162</f>
        <v/>
      </c>
      <c r="C117" s="89" t="s">
        <v>325</v>
      </c>
      <c r="D117" s="89"/>
      <c r="E117" s="89"/>
      <c r="F117" s="89"/>
      <c r="G117" s="89"/>
      <c r="H117" s="89"/>
      <c r="I117" s="70"/>
      <c r="J117" s="71">
        <f>SUM(BN47:BN102)</f>
        <v>0</v>
      </c>
      <c r="K117" s="71">
        <f>Source!K162</f>
        <v>24.24</v>
      </c>
      <c r="L117" s="71">
        <f>SUM(BU47:BU102)</f>
        <v>0</v>
      </c>
    </row>
    <row r="118" spans="1:97" ht="14.25" hidden="1" customHeight="1">
      <c r="A118" s="68"/>
      <c r="B118" s="69" t="str">
        <f>Source!Z162</f>
        <v/>
      </c>
      <c r="C118" s="89" t="s">
        <v>326</v>
      </c>
      <c r="D118" s="89"/>
      <c r="E118" s="89"/>
      <c r="F118" s="89"/>
      <c r="G118" s="89"/>
      <c r="H118" s="89"/>
      <c r="I118" s="70"/>
      <c r="J118" s="71">
        <f>SUM(BM47:BM102)</f>
        <v>0</v>
      </c>
      <c r="K118" s="71">
        <f>Source!I162</f>
        <v>6.74</v>
      </c>
      <c r="L118" s="71">
        <f>ROUND(J118*K118, 2)</f>
        <v>0</v>
      </c>
    </row>
    <row r="119" spans="1:97" ht="15">
      <c r="A119" s="64"/>
      <c r="B119" s="65"/>
      <c r="C119" s="92" t="s">
        <v>313</v>
      </c>
      <c r="D119" s="92"/>
      <c r="E119" s="92"/>
      <c r="F119" s="92"/>
      <c r="G119" s="92"/>
      <c r="H119" s="92"/>
      <c r="I119" s="66"/>
      <c r="J119" s="67">
        <f>J105+J112+J113+J114</f>
        <v>18950.490000000002</v>
      </c>
      <c r="K119" s="67"/>
      <c r="L119" s="67">
        <f>L105+L112+L113+L114</f>
        <v>364757.36</v>
      </c>
    </row>
    <row r="120" spans="1:97" ht="14.25" hidden="1" customHeight="1">
      <c r="A120" s="68"/>
      <c r="B120" s="69"/>
      <c r="C120" s="91" t="s">
        <v>315</v>
      </c>
      <c r="D120" s="89"/>
      <c r="E120" s="89"/>
      <c r="F120" s="89"/>
      <c r="G120" s="89"/>
      <c r="H120" s="89"/>
      <c r="I120" s="70"/>
      <c r="J120" s="71"/>
      <c r="K120" s="71"/>
      <c r="L120" s="71"/>
    </row>
    <row r="121" spans="1:97" ht="14.25" hidden="1" customHeight="1">
      <c r="A121" s="68"/>
      <c r="B121" s="69"/>
      <c r="C121" s="89" t="s">
        <v>327</v>
      </c>
      <c r="D121" s="89"/>
      <c r="E121" s="89"/>
      <c r="F121" s="89"/>
      <c r="G121" s="89"/>
      <c r="H121" s="89"/>
      <c r="I121" s="70"/>
      <c r="J121" s="71"/>
      <c r="K121" s="71"/>
      <c r="L121" s="71">
        <f>SUM(BS47:BS102)</f>
        <v>0</v>
      </c>
    </row>
    <row r="122" spans="1:97" ht="14.25" hidden="1" customHeight="1">
      <c r="A122" s="68"/>
      <c r="B122" s="69"/>
      <c r="C122" s="89" t="s">
        <v>328</v>
      </c>
      <c r="D122" s="89"/>
      <c r="E122" s="89"/>
      <c r="F122" s="89"/>
      <c r="G122" s="89"/>
      <c r="H122" s="89"/>
      <c r="I122" s="70"/>
      <c r="J122" s="71"/>
      <c r="K122" s="71"/>
      <c r="L122" s="71">
        <f>SUM(BT47:BT102)</f>
        <v>0</v>
      </c>
    </row>
    <row r="123" spans="1:97" ht="14.25">
      <c r="C123" s="99" t="str">
        <f>Source!H98</f>
        <v>Итого СМР в ценах 4кв  2021г с Кзп 24,24 Кэмм 9,52  Кмат 6,74 Письмо Минстрой РФ  от 01.11.2021№47672-ИФ/09</v>
      </c>
      <c r="D123" s="99"/>
      <c r="E123" s="99"/>
      <c r="F123" s="99"/>
      <c r="G123" s="99"/>
      <c r="H123" s="99"/>
      <c r="I123" s="99"/>
      <c r="J123" s="51"/>
      <c r="K123" s="52" t="str">
        <f>IF(OR(Source!AA98=0,Source!AA98=1), "", Source!AA98)</f>
        <v/>
      </c>
      <c r="L123" s="51">
        <f>IF(Source!AB98=0, "", Source!AB98)</f>
        <v>364757.36</v>
      </c>
      <c r="CS123" s="50" t="s">
        <v>166</v>
      </c>
    </row>
    <row r="124" spans="1:97" ht="14.25">
      <c r="C124" s="99" t="str">
        <f>Source!H99</f>
        <v>НДС 20%</v>
      </c>
      <c r="D124" s="99"/>
      <c r="E124" s="99"/>
      <c r="F124" s="99"/>
      <c r="G124" s="99"/>
      <c r="H124" s="99"/>
      <c r="I124" s="99"/>
      <c r="J124" s="53"/>
      <c r="K124" s="52" t="str">
        <f>IF(OR(Source!AA99=0,Source!AA99=1), "", Source!AA99)</f>
        <v/>
      </c>
      <c r="L124" s="53">
        <f>IF(Source!AB99=0, "", Source!AB99)</f>
        <v>72951.47</v>
      </c>
    </row>
    <row r="125" spans="1:97" ht="14.25">
      <c r="C125" s="99" t="str">
        <f>Source!H100</f>
        <v>Итого</v>
      </c>
      <c r="D125" s="99"/>
      <c r="E125" s="99"/>
      <c r="F125" s="99"/>
      <c r="G125" s="99"/>
      <c r="H125" s="99"/>
      <c r="I125" s="99"/>
      <c r="J125" s="51"/>
      <c r="K125" s="52" t="str">
        <f>IF(OR(Source!AA100=0,Source!AA100=1), "", Source!AA100)</f>
        <v/>
      </c>
      <c r="L125" s="51">
        <f>IF(Source!AB100=0, "", Source!AB100)</f>
        <v>437708.83</v>
      </c>
    </row>
    <row r="128" spans="1:97" ht="14.25">
      <c r="A128" s="94" t="s">
        <v>329</v>
      </c>
      <c r="B128" s="94"/>
      <c r="C128" s="46" t="str">
        <f>IF(Source!AC12&lt;&gt;"", Source!AC12," ")</f>
        <v xml:space="preserve"> </v>
      </c>
      <c r="D128" s="46"/>
      <c r="E128" s="46"/>
      <c r="F128" s="46"/>
      <c r="G128" s="46"/>
      <c r="H128" s="95" t="str">
        <f>IF(Source!AB12&lt;&gt;"", Source!AB12," ")</f>
        <v>Симоненко Г.В.</v>
      </c>
      <c r="I128" s="95"/>
      <c r="J128" s="95"/>
      <c r="K128" s="95"/>
    </row>
    <row r="129" spans="1:11" ht="14.25">
      <c r="A129" s="14"/>
      <c r="B129" s="14"/>
      <c r="C129" s="93" t="s">
        <v>330</v>
      </c>
      <c r="D129" s="93"/>
      <c r="E129" s="93"/>
      <c r="F129" s="93"/>
      <c r="G129" s="93"/>
      <c r="H129" s="14"/>
      <c r="I129" s="14"/>
      <c r="J129" s="14"/>
      <c r="K129" s="14"/>
    </row>
    <row r="130" spans="1:11" ht="14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</row>
    <row r="131" spans="1:11" ht="14.25">
      <c r="A131" s="94" t="s">
        <v>331</v>
      </c>
      <c r="B131" s="94"/>
      <c r="C131" s="46" t="str">
        <f>IF(Source!AE12&lt;&gt;"", Source!AE12," ")</f>
        <v xml:space="preserve"> </v>
      </c>
      <c r="D131" s="46"/>
      <c r="E131" s="46"/>
      <c r="F131" s="46"/>
      <c r="G131" s="46"/>
      <c r="H131" s="95" t="str">
        <f>IF(Source!AD12&lt;&gt;"", Source!AD12," ")</f>
        <v xml:space="preserve"> </v>
      </c>
      <c r="I131" s="95"/>
      <c r="J131" s="95"/>
      <c r="K131" s="95"/>
    </row>
    <row r="132" spans="1:11" ht="14.25">
      <c r="A132" s="14"/>
      <c r="B132" s="14"/>
      <c r="C132" s="93" t="s">
        <v>330</v>
      </c>
      <c r="D132" s="93"/>
      <c r="E132" s="93"/>
      <c r="F132" s="93"/>
      <c r="G132" s="93"/>
      <c r="H132" s="14"/>
      <c r="I132" s="14"/>
      <c r="J132" s="14"/>
      <c r="K132" s="14"/>
    </row>
  </sheetData>
  <mergeCells count="74">
    <mergeCell ref="B16:K16"/>
    <mergeCell ref="B3:E3"/>
    <mergeCell ref="H3:L3"/>
    <mergeCell ref="B4:E4"/>
    <mergeCell ref="H4:L4"/>
    <mergeCell ref="B6:E6"/>
    <mergeCell ref="H6:L6"/>
    <mergeCell ref="B7:E7"/>
    <mergeCell ref="H7:L7"/>
    <mergeCell ref="A10:L10"/>
    <mergeCell ref="A12:K12"/>
    <mergeCell ref="B15:K15"/>
    <mergeCell ref="D40:E40"/>
    <mergeCell ref="B18:K18"/>
    <mergeCell ref="B19:K19"/>
    <mergeCell ref="B21:K21"/>
    <mergeCell ref="B23:K23"/>
    <mergeCell ref="B24:K24"/>
    <mergeCell ref="C29:G29"/>
    <mergeCell ref="C30:G30"/>
    <mergeCell ref="D34:E34"/>
    <mergeCell ref="D37:E37"/>
    <mergeCell ref="D38:E38"/>
    <mergeCell ref="D39:E39"/>
    <mergeCell ref="A42:A45"/>
    <mergeCell ref="B42:B45"/>
    <mergeCell ref="C42:C45"/>
    <mergeCell ref="D42:D45"/>
    <mergeCell ref="E42:G44"/>
    <mergeCell ref="K42:K45"/>
    <mergeCell ref="L42:L45"/>
    <mergeCell ref="C123:I123"/>
    <mergeCell ref="C124:I124"/>
    <mergeCell ref="C125:I125"/>
    <mergeCell ref="C109:H109"/>
    <mergeCell ref="C108:H108"/>
    <mergeCell ref="C107:H107"/>
    <mergeCell ref="H42:J44"/>
    <mergeCell ref="C129:G129"/>
    <mergeCell ref="A131:B131"/>
    <mergeCell ref="H131:K131"/>
    <mergeCell ref="C132:G132"/>
    <mergeCell ref="C111:H111"/>
    <mergeCell ref="C116:H116"/>
    <mergeCell ref="C115:H115"/>
    <mergeCell ref="C114:H114"/>
    <mergeCell ref="C113:H113"/>
    <mergeCell ref="A128:B128"/>
    <mergeCell ref="H128:K128"/>
    <mergeCell ref="C117:H117"/>
    <mergeCell ref="I95:J95"/>
    <mergeCell ref="C95:H95"/>
    <mergeCell ref="I85:J85"/>
    <mergeCell ref="C85:H85"/>
    <mergeCell ref="C106:H106"/>
    <mergeCell ref="C105:H105"/>
    <mergeCell ref="C104:H104"/>
    <mergeCell ref="I102:J102"/>
    <mergeCell ref="C102:H102"/>
    <mergeCell ref="I99:J99"/>
    <mergeCell ref="C99:H99"/>
    <mergeCell ref="C110:H110"/>
    <mergeCell ref="C122:H122"/>
    <mergeCell ref="C121:H121"/>
    <mergeCell ref="C120:H120"/>
    <mergeCell ref="C119:H119"/>
    <mergeCell ref="C118:H118"/>
    <mergeCell ref="C112:H112"/>
    <mergeCell ref="I66:J66"/>
    <mergeCell ref="C66:H66"/>
    <mergeCell ref="I56:J56"/>
    <mergeCell ref="C56:H56"/>
    <mergeCell ref="I76:J76"/>
    <mergeCell ref="C76:H76"/>
  </mergeCells>
  <pageMargins left="0.4" right="0.2" top="0.2" bottom="0.4" header="0.2" footer="0.2"/>
  <pageSetup paperSize="9" scale="51" fitToHeight="0" orientation="portrait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27"/>
  <sheetViews>
    <sheetView tabSelected="1" zoomScaleNormal="100" workbookViewId="0">
      <selection activeCell="B13" sqref="B13:E13"/>
    </sheetView>
  </sheetViews>
  <sheetFormatPr defaultRowHeight="12.75"/>
  <cols>
    <col min="1" max="2" width="6.7109375" customWidth="1"/>
    <col min="3" max="3" width="75.7109375" customWidth="1"/>
    <col min="4" max="8" width="15.7109375" customWidth="1"/>
    <col min="30" max="30" width="0" hidden="1" customWidth="1"/>
    <col min="31" max="31" width="114.7109375" hidden="1" customWidth="1"/>
    <col min="32" max="32" width="0" hidden="1" customWidth="1"/>
  </cols>
  <sheetData>
    <row r="1" spans="1:31">
      <c r="A1" s="12" t="str">
        <f>Source!B1</f>
        <v>Smeta.RU  (495) 974-1589</v>
      </c>
    </row>
    <row r="2" spans="1:31" ht="14.25">
      <c r="D2" s="14"/>
      <c r="E2" s="14"/>
    </row>
    <row r="3" spans="1:31" ht="15">
      <c r="D3" s="14"/>
      <c r="E3" s="63" t="s">
        <v>264</v>
      </c>
    </row>
    <row r="4" spans="1:31" ht="15">
      <c r="D4" s="63"/>
      <c r="E4" s="63"/>
    </row>
    <row r="5" spans="1:31" ht="15">
      <c r="D5" s="121" t="s">
        <v>332</v>
      </c>
      <c r="E5" s="121"/>
    </row>
    <row r="6" spans="1:31" ht="15">
      <c r="D6" s="78"/>
      <c r="E6" s="78"/>
    </row>
    <row r="7" spans="1:31" ht="15">
      <c r="D7" s="121" t="s">
        <v>332</v>
      </c>
      <c r="E7" s="121"/>
    </row>
    <row r="8" spans="1:31" ht="15">
      <c r="D8" s="78"/>
      <c r="E8" s="78"/>
    </row>
    <row r="9" spans="1:31" ht="15">
      <c r="D9" s="63" t="s">
        <v>333</v>
      </c>
      <c r="E9" s="14"/>
    </row>
    <row r="10" spans="1:31" ht="14.25">
      <c r="D10" s="14"/>
      <c r="E10" s="14"/>
    </row>
    <row r="12" spans="1:31" ht="15.75">
      <c r="B12" s="122" t="str">
        <f>CONCATENATE("Ведомость объемов работ ", IF(Source!AN15&lt;&gt;"", Source!AN15," "))</f>
        <v xml:space="preserve">Ведомость объемов работ  </v>
      </c>
      <c r="C12" s="122"/>
      <c r="D12" s="122"/>
      <c r="E12" s="122"/>
    </row>
    <row r="13" spans="1:31" ht="15">
      <c r="B13" s="123" t="s">
        <v>344</v>
      </c>
      <c r="C13" s="123"/>
      <c r="D13" s="123"/>
      <c r="E13" s="123"/>
      <c r="AE13" s="79" t="str">
        <f>CONCATENATE(Source!F12, " ", Source!G12)</f>
        <v xml:space="preserve">  Удаление деревьев на территории д.Чемоданово Юхновского района</v>
      </c>
    </row>
    <row r="15" spans="1:31" ht="99.75">
      <c r="A15" s="81" t="s">
        <v>287</v>
      </c>
      <c r="B15" s="81" t="s">
        <v>334</v>
      </c>
      <c r="C15" s="81" t="s">
        <v>289</v>
      </c>
      <c r="D15" s="81" t="s">
        <v>290</v>
      </c>
      <c r="E15" s="81" t="s">
        <v>291</v>
      </c>
      <c r="F15" s="81" t="s">
        <v>335</v>
      </c>
      <c r="G15" s="81" t="s">
        <v>336</v>
      </c>
      <c r="H15" s="81" t="s">
        <v>337</v>
      </c>
    </row>
    <row r="16" spans="1:31" ht="14.25">
      <c r="A16" s="81">
        <v>1</v>
      </c>
      <c r="B16" s="81">
        <v>2</v>
      </c>
      <c r="C16" s="81">
        <v>3</v>
      </c>
      <c r="D16" s="81">
        <v>4</v>
      </c>
      <c r="E16" s="81">
        <v>5</v>
      </c>
      <c r="F16" s="81">
        <v>6</v>
      </c>
      <c r="G16" s="81">
        <v>7</v>
      </c>
      <c r="H16" s="81">
        <v>8</v>
      </c>
    </row>
    <row r="17" spans="1:8" ht="16.5">
      <c r="A17" s="124" t="s">
        <v>343</v>
      </c>
      <c r="B17" s="124"/>
      <c r="C17" s="124"/>
      <c r="D17" s="124"/>
      <c r="E17" s="124"/>
      <c r="F17" s="124"/>
      <c r="G17" s="124"/>
      <c r="H17" s="124"/>
    </row>
    <row r="18" spans="1:8" ht="57">
      <c r="A18" s="81">
        <v>1</v>
      </c>
      <c r="B18" s="81" t="str">
        <f>Source!E24</f>
        <v>1</v>
      </c>
      <c r="C18" s="84" t="str">
        <f>Source!G24</f>
        <v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ствола: до 36 см</v>
      </c>
      <c r="D18" s="81" t="str">
        <f>Source!H24</f>
        <v>м3</v>
      </c>
      <c r="E18" s="85">
        <f>Source!I24</f>
        <v>29.63</v>
      </c>
      <c r="F18" s="81" t="str">
        <f>Source!J20</f>
        <v/>
      </c>
      <c r="G18" s="81" t="str">
        <f>"=(1,49+"&amp;"4,69*"&amp;"6)"</f>
        <v>=(1,49+4,69*6)</v>
      </c>
      <c r="H18" s="84"/>
    </row>
    <row r="19" spans="1:8" ht="57">
      <c r="A19" s="81">
        <v>2</v>
      </c>
      <c r="B19" s="81" t="str">
        <f>Source!E26</f>
        <v>2</v>
      </c>
      <c r="C19" s="84" t="str">
        <f>Source!G26</f>
        <v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ствола: до 52 см</v>
      </c>
      <c r="D19" s="81" t="str">
        <f>Source!H26</f>
        <v>м3</v>
      </c>
      <c r="E19" s="85">
        <f>Source!I26</f>
        <v>75.040000000000006</v>
      </c>
      <c r="F19" s="81" t="str">
        <f>Source!J20</f>
        <v/>
      </c>
      <c r="G19" s="81" t="str">
        <f>"=((4,69*"&amp;"16))"</f>
        <v>=((4,69*16))</v>
      </c>
      <c r="H19" s="84"/>
    </row>
    <row r="20" spans="1:8" ht="57">
      <c r="A20" s="81">
        <v>3</v>
      </c>
      <c r="B20" s="81" t="str">
        <f>Source!E28</f>
        <v>3</v>
      </c>
      <c r="C20" s="84" t="str">
        <f>Source!G28</f>
        <v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ствола: до 72 см</v>
      </c>
      <c r="D20" s="81" t="str">
        <f>Source!H28</f>
        <v>м3</v>
      </c>
      <c r="E20" s="85">
        <f>Source!I28</f>
        <v>106.29</v>
      </c>
      <c r="F20" s="81" t="str">
        <f>Source!J20</f>
        <v/>
      </c>
      <c r="G20" s="81" t="str">
        <f>"=(9,93*"&amp;"8+"&amp;"4,69*"&amp;"2+"&amp;"17,47)"</f>
        <v>=(9,93*8+4,69*2+17,47)</v>
      </c>
      <c r="H20" s="84"/>
    </row>
    <row r="21" spans="1:8" ht="42.75">
      <c r="A21" s="81">
        <v>4</v>
      </c>
      <c r="B21" s="81" t="str">
        <f>Source!E30</f>
        <v>4</v>
      </c>
      <c r="C21" s="84" t="str">
        <f>Source!G30</f>
        <v>Валка деревьев в труднодоступных местах с применением канатного метода страховки без корчевки пня породы тополь при диаметре ствола: до 80 см</v>
      </c>
      <c r="D21" s="81" t="str">
        <f>Source!H30</f>
        <v>м3</v>
      </c>
      <c r="E21" s="85">
        <f>Source!I30</f>
        <v>4.6900000000000004</v>
      </c>
      <c r="F21" s="81" t="str">
        <f>Source!J20</f>
        <v/>
      </c>
      <c r="G21" s="81">
        <f>Source!I30</f>
        <v>4.6900000000000004</v>
      </c>
      <c r="H21" s="84"/>
    </row>
    <row r="22" spans="1:8" ht="28.5">
      <c r="A22" s="81">
        <v>5</v>
      </c>
      <c r="B22" s="81" t="str">
        <f>Source!E32</f>
        <v>5</v>
      </c>
      <c r="C22" s="84" t="str">
        <f>Source!G32</f>
        <v>Расчистка площадей от кустарника и мелколесья вручную: при средней поросли</v>
      </c>
      <c r="D22" s="81" t="str">
        <f>Source!H32</f>
        <v>100 м2</v>
      </c>
      <c r="E22" s="85">
        <f>Source!I32</f>
        <v>8</v>
      </c>
      <c r="F22" s="81" t="str">
        <f>Source!J20</f>
        <v/>
      </c>
      <c r="G22" s="81" t="str">
        <f>"=800/"&amp;"100"</f>
        <v>=800/100</v>
      </c>
      <c r="H22" s="84"/>
    </row>
    <row r="23" spans="1:8" ht="28.5">
      <c r="A23" s="81">
        <v>6</v>
      </c>
      <c r="B23" s="81" t="str">
        <f>Source!E34</f>
        <v>6</v>
      </c>
      <c r="C23" s="84" t="str">
        <f>Source!G34</f>
        <v>Погрузочные работы при автомобильных перевозках мусора строительного с погрузкой вручную</v>
      </c>
      <c r="D23" s="81" t="str">
        <f>Source!H34</f>
        <v>1 Т ГРУЗА</v>
      </c>
      <c r="E23" s="85">
        <f>Source!I34</f>
        <v>129.38999999999999</v>
      </c>
      <c r="F23" s="81" t="str">
        <f>Source!J20</f>
        <v/>
      </c>
      <c r="G23" s="81" t="str">
        <f>"=215,65*"&amp;"0,6"</f>
        <v>=215,65*0,6</v>
      </c>
      <c r="H23" s="84"/>
    </row>
    <row r="24" spans="1:8" ht="28.5">
      <c r="A24" s="80">
        <v>7</v>
      </c>
      <c r="B24" s="80" t="str">
        <f>Source!E36</f>
        <v>7</v>
      </c>
      <c r="C24" s="82" t="str">
        <f>Source!G36</f>
        <v>Перевозка грузов I класса автомобилями-самосвалами грузоподъемностью 10 т работающих вне карьера на расстояние до 5 км</v>
      </c>
      <c r="D24" s="80" t="str">
        <f>Source!H36</f>
        <v>1 Т ГРУЗА</v>
      </c>
      <c r="E24" s="83">
        <f>Source!I36</f>
        <v>129.38999999999999</v>
      </c>
      <c r="F24" s="80" t="str">
        <f>Source!J20</f>
        <v/>
      </c>
      <c r="G24" s="80">
        <f>Source!I36</f>
        <v>129.38999999999999</v>
      </c>
      <c r="H24" s="82"/>
    </row>
    <row r="27" spans="1:8" ht="15">
      <c r="B27" s="86" t="s">
        <v>338</v>
      </c>
      <c r="C27" s="14"/>
      <c r="D27" s="87" t="s">
        <v>339</v>
      </c>
      <c r="E27" s="88"/>
    </row>
  </sheetData>
  <mergeCells count="5">
    <mergeCell ref="D5:E5"/>
    <mergeCell ref="D7:E7"/>
    <mergeCell ref="B12:E12"/>
    <mergeCell ref="B13:E13"/>
    <mergeCell ref="A17:H17"/>
  </mergeCells>
  <pageMargins left="0.4" right="0.2" top="0.2" bottom="0.4" header="0.2" footer="0.2"/>
  <pageSetup paperSize="9" scale="59" fitToHeight="0" orientation="portrait" r:id="rId1"/>
  <headerFooter>
    <oddHeader>&amp;L&amp;8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U167"/>
  <sheetViews>
    <sheetView workbookViewId="0">
      <selection activeCell="G22" sqref="G22"/>
    </sheetView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13227</v>
      </c>
      <c r="M1">
        <v>10</v>
      </c>
      <c r="N1">
        <v>11</v>
      </c>
      <c r="O1">
        <v>4</v>
      </c>
      <c r="P1">
        <v>1</v>
      </c>
      <c r="Q1">
        <v>4</v>
      </c>
    </row>
    <row r="12" spans="1:133">
      <c r="A12" s="1">
        <v>1</v>
      </c>
      <c r="B12" s="1">
        <v>161</v>
      </c>
      <c r="C12" s="1">
        <v>0</v>
      </c>
      <c r="D12" s="1">
        <f>ROW(A102)</f>
        <v>102</v>
      </c>
      <c r="E12" s="1">
        <v>0</v>
      </c>
      <c r="F12" s="1" t="s">
        <v>3</v>
      </c>
      <c r="G12" s="1" t="s">
        <v>340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131078</v>
      </c>
      <c r="N12" s="1"/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3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5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6</v>
      </c>
      <c r="AJ12" s="1" t="s">
        <v>7</v>
      </c>
      <c r="AK12" s="1"/>
      <c r="AL12" s="1" t="s">
        <v>8</v>
      </c>
      <c r="AM12" s="1" t="s">
        <v>3</v>
      </c>
      <c r="AN12" s="1" t="s">
        <v>9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2</v>
      </c>
      <c r="BC12" s="1"/>
      <c r="BD12" s="1"/>
      <c r="BE12" s="1"/>
      <c r="BF12" s="1"/>
      <c r="BG12" s="1"/>
      <c r="BH12" s="1" t="s">
        <v>10</v>
      </c>
      <c r="BI12" s="1" t="s">
        <v>11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12</v>
      </c>
      <c r="BZ12" s="1" t="s">
        <v>13</v>
      </c>
      <c r="CA12" s="1" t="s">
        <v>14</v>
      </c>
      <c r="CB12" s="1" t="s">
        <v>14</v>
      </c>
      <c r="CC12" s="1" t="s">
        <v>14</v>
      </c>
      <c r="CD12" s="1" t="s">
        <v>14</v>
      </c>
      <c r="CE12" s="1" t="s">
        <v>15</v>
      </c>
      <c r="CF12" s="1">
        <v>0</v>
      </c>
      <c r="CG12" s="1">
        <v>0</v>
      </c>
      <c r="CH12" s="1">
        <v>403537928</v>
      </c>
      <c r="CI12" s="1" t="s">
        <v>3</v>
      </c>
      <c r="CJ12" s="1" t="s">
        <v>3</v>
      </c>
      <c r="CK12" s="1">
        <v>7</v>
      </c>
      <c r="CL12" s="1"/>
      <c r="CM12" s="1"/>
      <c r="CN12" s="1"/>
      <c r="CO12" s="1"/>
      <c r="CP12" s="1"/>
      <c r="CQ12" s="1" t="s">
        <v>262</v>
      </c>
      <c r="CR12" s="1" t="s">
        <v>16</v>
      </c>
      <c r="CS12" s="1">
        <v>44375</v>
      </c>
      <c r="CT12" s="1">
        <v>382</v>
      </c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55">
      <c r="A18" s="3">
        <v>52</v>
      </c>
      <c r="B18" s="3">
        <f t="shared" ref="B18:G18" si="0">B102</f>
        <v>161</v>
      </c>
      <c r="C18" s="3">
        <f t="shared" si="0"/>
        <v>1</v>
      </c>
      <c r="D18" s="3">
        <f t="shared" si="0"/>
        <v>12</v>
      </c>
      <c r="E18" s="3">
        <f t="shared" si="0"/>
        <v>0</v>
      </c>
      <c r="F18" s="3" t="str">
        <f t="shared" si="0"/>
        <v/>
      </c>
      <c r="G18" s="3" t="str">
        <f t="shared" si="0"/>
        <v xml:space="preserve"> Удаление деревьев на территории д.Чемоданово Юхновского района</v>
      </c>
      <c r="H18" s="3"/>
      <c r="I18" s="3"/>
      <c r="J18" s="3"/>
      <c r="K18" s="3"/>
      <c r="L18" s="3"/>
      <c r="M18" s="3"/>
      <c r="N18" s="3"/>
      <c r="O18" s="3">
        <f t="shared" ref="O18:AT18" si="1">O102</f>
        <v>4922.7700000000004</v>
      </c>
      <c r="P18" s="3">
        <f t="shared" si="1"/>
        <v>0</v>
      </c>
      <c r="Q18" s="3">
        <f t="shared" si="1"/>
        <v>0</v>
      </c>
      <c r="R18" s="3">
        <f t="shared" si="1"/>
        <v>0</v>
      </c>
      <c r="S18" s="3">
        <f t="shared" si="1"/>
        <v>4922.7700000000004</v>
      </c>
      <c r="T18" s="3">
        <f t="shared" si="1"/>
        <v>0</v>
      </c>
      <c r="U18" s="3">
        <f t="shared" si="1"/>
        <v>544.90200000000004</v>
      </c>
      <c r="V18" s="3">
        <f t="shared" si="1"/>
        <v>0</v>
      </c>
      <c r="W18" s="3">
        <f t="shared" si="1"/>
        <v>0</v>
      </c>
      <c r="X18" s="3">
        <f t="shared" si="1"/>
        <v>4981.92</v>
      </c>
      <c r="Y18" s="3">
        <f t="shared" si="1"/>
        <v>2619</v>
      </c>
      <c r="Z18" s="3">
        <f t="shared" si="1"/>
        <v>0</v>
      </c>
      <c r="AA18" s="3">
        <f t="shared" si="1"/>
        <v>0</v>
      </c>
      <c r="AB18" s="3">
        <f t="shared" si="1"/>
        <v>0</v>
      </c>
      <c r="AC18" s="3">
        <f t="shared" si="1"/>
        <v>0</v>
      </c>
      <c r="AD18" s="3">
        <f t="shared" si="1"/>
        <v>0</v>
      </c>
      <c r="AE18" s="3">
        <f t="shared" si="1"/>
        <v>0</v>
      </c>
      <c r="AF18" s="3">
        <f t="shared" si="1"/>
        <v>0</v>
      </c>
      <c r="AG18" s="3">
        <f t="shared" si="1"/>
        <v>0</v>
      </c>
      <c r="AH18" s="3">
        <f t="shared" si="1"/>
        <v>0</v>
      </c>
      <c r="AI18" s="3">
        <f t="shared" si="1"/>
        <v>0</v>
      </c>
      <c r="AJ18" s="3">
        <f t="shared" si="1"/>
        <v>0</v>
      </c>
      <c r="AK18" s="3">
        <f t="shared" si="1"/>
        <v>0</v>
      </c>
      <c r="AL18" s="3">
        <f t="shared" si="1"/>
        <v>0</v>
      </c>
      <c r="AM18" s="3">
        <f t="shared" si="1"/>
        <v>0</v>
      </c>
      <c r="AN18" s="3">
        <f t="shared" si="1"/>
        <v>0</v>
      </c>
      <c r="AO18" s="3">
        <f t="shared" si="1"/>
        <v>0</v>
      </c>
      <c r="AP18" s="3">
        <f t="shared" si="1"/>
        <v>0</v>
      </c>
      <c r="AQ18" s="3">
        <f t="shared" si="1"/>
        <v>0</v>
      </c>
      <c r="AR18" s="3">
        <f t="shared" si="1"/>
        <v>18950.490000000002</v>
      </c>
      <c r="AS18" s="3">
        <f t="shared" si="1"/>
        <v>18950.490000000002</v>
      </c>
      <c r="AT18" s="3">
        <f t="shared" si="1"/>
        <v>0</v>
      </c>
      <c r="AU18" s="3">
        <f t="shared" ref="AU18:BZ18" si="2">AU102</f>
        <v>0</v>
      </c>
      <c r="AV18" s="3">
        <f t="shared" si="2"/>
        <v>0</v>
      </c>
      <c r="AW18" s="3">
        <f t="shared" si="2"/>
        <v>0</v>
      </c>
      <c r="AX18" s="3">
        <f t="shared" si="2"/>
        <v>0</v>
      </c>
      <c r="AY18" s="3">
        <f t="shared" si="2"/>
        <v>0</v>
      </c>
      <c r="AZ18" s="3">
        <f t="shared" si="2"/>
        <v>0</v>
      </c>
      <c r="BA18" s="3">
        <f t="shared" si="2"/>
        <v>0</v>
      </c>
      <c r="BB18" s="3">
        <f t="shared" si="2"/>
        <v>0</v>
      </c>
      <c r="BC18" s="3">
        <f t="shared" si="2"/>
        <v>0</v>
      </c>
      <c r="BD18" s="3">
        <f t="shared" si="2"/>
        <v>6426.8</v>
      </c>
      <c r="BE18" s="3">
        <f t="shared" si="2"/>
        <v>0</v>
      </c>
      <c r="BF18" s="3">
        <f t="shared" si="2"/>
        <v>0</v>
      </c>
      <c r="BG18" s="3">
        <f t="shared" si="2"/>
        <v>0</v>
      </c>
      <c r="BH18" s="3">
        <f t="shared" si="2"/>
        <v>0</v>
      </c>
      <c r="BI18" s="3">
        <f t="shared" si="2"/>
        <v>0</v>
      </c>
      <c r="BJ18" s="3">
        <f t="shared" si="2"/>
        <v>0</v>
      </c>
      <c r="BK18" s="3">
        <f t="shared" si="2"/>
        <v>0</v>
      </c>
      <c r="BL18" s="3">
        <f t="shared" si="2"/>
        <v>0</v>
      </c>
      <c r="BM18" s="3">
        <f t="shared" si="2"/>
        <v>0</v>
      </c>
      <c r="BN18" s="3">
        <f t="shared" si="2"/>
        <v>0</v>
      </c>
      <c r="BO18" s="3">
        <f t="shared" si="2"/>
        <v>0</v>
      </c>
      <c r="BP18" s="3">
        <f t="shared" si="2"/>
        <v>0</v>
      </c>
      <c r="BQ18" s="3">
        <f t="shared" si="2"/>
        <v>0</v>
      </c>
      <c r="BR18" s="3">
        <f t="shared" si="2"/>
        <v>0</v>
      </c>
      <c r="BS18" s="3">
        <f t="shared" si="2"/>
        <v>0</v>
      </c>
      <c r="BT18" s="3">
        <f t="shared" si="2"/>
        <v>0</v>
      </c>
      <c r="BU18" s="3">
        <f t="shared" si="2"/>
        <v>0</v>
      </c>
      <c r="BV18" s="3">
        <f t="shared" si="2"/>
        <v>0</v>
      </c>
      <c r="BW18" s="3">
        <f t="shared" si="2"/>
        <v>0</v>
      </c>
      <c r="BX18" s="3">
        <f t="shared" si="2"/>
        <v>0</v>
      </c>
      <c r="BY18" s="3">
        <f t="shared" si="2"/>
        <v>0</v>
      </c>
      <c r="BZ18" s="3">
        <f t="shared" si="2"/>
        <v>0</v>
      </c>
      <c r="CA18" s="3">
        <f t="shared" ref="CA18:DF18" si="3">CA102</f>
        <v>0</v>
      </c>
      <c r="CB18" s="3">
        <f t="shared" si="3"/>
        <v>0</v>
      </c>
      <c r="CC18" s="3">
        <f t="shared" si="3"/>
        <v>0</v>
      </c>
      <c r="CD18" s="3">
        <f t="shared" si="3"/>
        <v>0</v>
      </c>
      <c r="CE18" s="3">
        <f t="shared" si="3"/>
        <v>0</v>
      </c>
      <c r="CF18" s="3">
        <f t="shared" si="3"/>
        <v>0</v>
      </c>
      <c r="CG18" s="3">
        <f t="shared" si="3"/>
        <v>0</v>
      </c>
      <c r="CH18" s="3">
        <f t="shared" si="3"/>
        <v>0</v>
      </c>
      <c r="CI18" s="3">
        <f t="shared" si="3"/>
        <v>0</v>
      </c>
      <c r="CJ18" s="3">
        <f t="shared" si="3"/>
        <v>0</v>
      </c>
      <c r="CK18" s="3">
        <f t="shared" si="3"/>
        <v>0</v>
      </c>
      <c r="CL18" s="3">
        <f t="shared" si="3"/>
        <v>0</v>
      </c>
      <c r="CM18" s="3">
        <f t="shared" si="3"/>
        <v>0</v>
      </c>
      <c r="CN18" s="3">
        <f t="shared" si="3"/>
        <v>0</v>
      </c>
      <c r="CO18" s="3">
        <f t="shared" si="3"/>
        <v>0</v>
      </c>
      <c r="CP18" s="3">
        <f t="shared" si="3"/>
        <v>0</v>
      </c>
      <c r="CQ18" s="3">
        <f t="shared" si="3"/>
        <v>0</v>
      </c>
      <c r="CR18" s="3">
        <f t="shared" si="3"/>
        <v>0</v>
      </c>
      <c r="CS18" s="3">
        <f t="shared" si="3"/>
        <v>0</v>
      </c>
      <c r="CT18" s="3">
        <f t="shared" si="3"/>
        <v>0</v>
      </c>
      <c r="CU18" s="3">
        <f t="shared" si="3"/>
        <v>0</v>
      </c>
      <c r="CV18" s="3">
        <f t="shared" si="3"/>
        <v>0</v>
      </c>
      <c r="CW18" s="3">
        <f t="shared" si="3"/>
        <v>0</v>
      </c>
      <c r="CX18" s="3">
        <f t="shared" si="3"/>
        <v>0</v>
      </c>
      <c r="CY18" s="3">
        <f t="shared" si="3"/>
        <v>0</v>
      </c>
      <c r="CZ18" s="3">
        <f t="shared" si="3"/>
        <v>0</v>
      </c>
      <c r="DA18" s="3">
        <f t="shared" si="3"/>
        <v>0</v>
      </c>
      <c r="DB18" s="3">
        <f t="shared" si="3"/>
        <v>0</v>
      </c>
      <c r="DC18" s="3">
        <f t="shared" si="3"/>
        <v>0</v>
      </c>
      <c r="DD18" s="3">
        <f t="shared" si="3"/>
        <v>0</v>
      </c>
      <c r="DE18" s="3">
        <f t="shared" si="3"/>
        <v>0</v>
      </c>
      <c r="DF18" s="3">
        <f t="shared" si="3"/>
        <v>0</v>
      </c>
      <c r="DG18" s="4">
        <f t="shared" ref="DG18:EL18" si="4">DG102</f>
        <v>4922.7700000000004</v>
      </c>
      <c r="DH18" s="4">
        <f t="shared" si="4"/>
        <v>0</v>
      </c>
      <c r="DI18" s="4">
        <f t="shared" si="4"/>
        <v>0</v>
      </c>
      <c r="DJ18" s="4">
        <f t="shared" si="4"/>
        <v>0</v>
      </c>
      <c r="DK18" s="4">
        <f t="shared" si="4"/>
        <v>4922.7700000000004</v>
      </c>
      <c r="DL18" s="4">
        <f t="shared" si="4"/>
        <v>0</v>
      </c>
      <c r="DM18" s="4">
        <f t="shared" si="4"/>
        <v>544.90200000000004</v>
      </c>
      <c r="DN18" s="4">
        <f t="shared" si="4"/>
        <v>0</v>
      </c>
      <c r="DO18" s="4">
        <f t="shared" si="4"/>
        <v>0</v>
      </c>
      <c r="DP18" s="4">
        <f t="shared" si="4"/>
        <v>4981.92</v>
      </c>
      <c r="DQ18" s="4">
        <f t="shared" si="4"/>
        <v>2619</v>
      </c>
      <c r="DR18" s="4">
        <f t="shared" si="4"/>
        <v>0</v>
      </c>
      <c r="DS18" s="4">
        <f t="shared" si="4"/>
        <v>0</v>
      </c>
      <c r="DT18" s="4">
        <f t="shared" si="4"/>
        <v>0</v>
      </c>
      <c r="DU18" s="4">
        <f t="shared" si="4"/>
        <v>0</v>
      </c>
      <c r="DV18" s="4">
        <f t="shared" si="4"/>
        <v>0</v>
      </c>
      <c r="DW18" s="4">
        <f t="shared" si="4"/>
        <v>0</v>
      </c>
      <c r="DX18" s="4">
        <f t="shared" si="4"/>
        <v>0</v>
      </c>
      <c r="DY18" s="4">
        <f t="shared" si="4"/>
        <v>0</v>
      </c>
      <c r="DZ18" s="4">
        <f t="shared" si="4"/>
        <v>0</v>
      </c>
      <c r="EA18" s="4">
        <f t="shared" si="4"/>
        <v>0</v>
      </c>
      <c r="EB18" s="4">
        <f t="shared" si="4"/>
        <v>0</v>
      </c>
      <c r="EC18" s="4">
        <f t="shared" si="4"/>
        <v>0</v>
      </c>
      <c r="ED18" s="4">
        <f t="shared" si="4"/>
        <v>0</v>
      </c>
      <c r="EE18" s="4">
        <f t="shared" si="4"/>
        <v>0</v>
      </c>
      <c r="EF18" s="4">
        <f t="shared" si="4"/>
        <v>0</v>
      </c>
      <c r="EG18" s="4">
        <f t="shared" si="4"/>
        <v>0</v>
      </c>
      <c r="EH18" s="4">
        <f t="shared" si="4"/>
        <v>0</v>
      </c>
      <c r="EI18" s="4">
        <f t="shared" si="4"/>
        <v>0</v>
      </c>
      <c r="EJ18" s="4">
        <f t="shared" si="4"/>
        <v>18950.490000000002</v>
      </c>
      <c r="EK18" s="4">
        <f t="shared" si="4"/>
        <v>18950.490000000002</v>
      </c>
      <c r="EL18" s="4">
        <f t="shared" si="4"/>
        <v>0</v>
      </c>
      <c r="EM18" s="4">
        <f t="shared" ref="EM18:FR18" si="5">EM102</f>
        <v>0</v>
      </c>
      <c r="EN18" s="4">
        <f t="shared" si="5"/>
        <v>0</v>
      </c>
      <c r="EO18" s="4">
        <f t="shared" si="5"/>
        <v>0</v>
      </c>
      <c r="EP18" s="4">
        <f t="shared" si="5"/>
        <v>0</v>
      </c>
      <c r="EQ18" s="4">
        <f t="shared" si="5"/>
        <v>0</v>
      </c>
      <c r="ER18" s="4">
        <f t="shared" si="5"/>
        <v>0</v>
      </c>
      <c r="ES18" s="4">
        <f t="shared" si="5"/>
        <v>0</v>
      </c>
      <c r="ET18" s="4">
        <f t="shared" si="5"/>
        <v>0</v>
      </c>
      <c r="EU18" s="4">
        <f t="shared" si="5"/>
        <v>0</v>
      </c>
      <c r="EV18" s="4">
        <f t="shared" si="5"/>
        <v>6426.8</v>
      </c>
      <c r="EW18" s="4">
        <f t="shared" si="5"/>
        <v>0</v>
      </c>
      <c r="EX18" s="4">
        <f t="shared" si="5"/>
        <v>0</v>
      </c>
      <c r="EY18" s="4">
        <f t="shared" si="5"/>
        <v>0</v>
      </c>
      <c r="EZ18" s="4">
        <f t="shared" si="5"/>
        <v>0</v>
      </c>
      <c r="FA18" s="4">
        <f t="shared" si="5"/>
        <v>0</v>
      </c>
      <c r="FB18" s="4">
        <f t="shared" si="5"/>
        <v>0</v>
      </c>
      <c r="FC18" s="4">
        <f t="shared" si="5"/>
        <v>0</v>
      </c>
      <c r="FD18" s="4">
        <f t="shared" si="5"/>
        <v>0</v>
      </c>
      <c r="FE18" s="4">
        <f t="shared" si="5"/>
        <v>0</v>
      </c>
      <c r="FF18" s="4">
        <f t="shared" si="5"/>
        <v>0</v>
      </c>
      <c r="FG18" s="4">
        <f t="shared" si="5"/>
        <v>0</v>
      </c>
      <c r="FH18" s="4">
        <f t="shared" si="5"/>
        <v>0</v>
      </c>
      <c r="FI18" s="4">
        <f t="shared" si="5"/>
        <v>0</v>
      </c>
      <c r="FJ18" s="4">
        <f t="shared" si="5"/>
        <v>0</v>
      </c>
      <c r="FK18" s="4">
        <f t="shared" si="5"/>
        <v>0</v>
      </c>
      <c r="FL18" s="4">
        <f t="shared" si="5"/>
        <v>0</v>
      </c>
      <c r="FM18" s="4">
        <f t="shared" si="5"/>
        <v>0</v>
      </c>
      <c r="FN18" s="4">
        <f t="shared" si="5"/>
        <v>0</v>
      </c>
      <c r="FO18" s="4">
        <f t="shared" si="5"/>
        <v>0</v>
      </c>
      <c r="FP18" s="4">
        <f t="shared" si="5"/>
        <v>0</v>
      </c>
      <c r="FQ18" s="4">
        <f t="shared" si="5"/>
        <v>0</v>
      </c>
      <c r="FR18" s="4">
        <f t="shared" si="5"/>
        <v>0</v>
      </c>
      <c r="FS18" s="4">
        <f t="shared" ref="FS18:GX18" si="6">FS102</f>
        <v>0</v>
      </c>
      <c r="FT18" s="4">
        <f t="shared" si="6"/>
        <v>0</v>
      </c>
      <c r="FU18" s="4">
        <f t="shared" si="6"/>
        <v>0</v>
      </c>
      <c r="FV18" s="4">
        <f t="shared" si="6"/>
        <v>0</v>
      </c>
      <c r="FW18" s="4">
        <f t="shared" si="6"/>
        <v>0</v>
      </c>
      <c r="FX18" s="4">
        <f t="shared" si="6"/>
        <v>0</v>
      </c>
      <c r="FY18" s="4">
        <f t="shared" si="6"/>
        <v>0</v>
      </c>
      <c r="FZ18" s="4">
        <f t="shared" si="6"/>
        <v>0</v>
      </c>
      <c r="GA18" s="4">
        <f t="shared" si="6"/>
        <v>0</v>
      </c>
      <c r="GB18" s="4">
        <f t="shared" si="6"/>
        <v>0</v>
      </c>
      <c r="GC18" s="4">
        <f t="shared" si="6"/>
        <v>0</v>
      </c>
      <c r="GD18" s="4">
        <f t="shared" si="6"/>
        <v>0</v>
      </c>
      <c r="GE18" s="4">
        <f t="shared" si="6"/>
        <v>0</v>
      </c>
      <c r="GF18" s="4">
        <f t="shared" si="6"/>
        <v>0</v>
      </c>
      <c r="GG18" s="4">
        <f t="shared" si="6"/>
        <v>0</v>
      </c>
      <c r="GH18" s="4">
        <f t="shared" si="6"/>
        <v>0</v>
      </c>
      <c r="GI18" s="4">
        <f t="shared" si="6"/>
        <v>0</v>
      </c>
      <c r="GJ18" s="4">
        <f t="shared" si="6"/>
        <v>0</v>
      </c>
      <c r="GK18" s="4">
        <f t="shared" si="6"/>
        <v>0</v>
      </c>
      <c r="GL18" s="4">
        <f t="shared" si="6"/>
        <v>0</v>
      </c>
      <c r="GM18" s="4">
        <f t="shared" si="6"/>
        <v>0</v>
      </c>
      <c r="GN18" s="4">
        <f t="shared" si="6"/>
        <v>0</v>
      </c>
      <c r="GO18" s="4">
        <f t="shared" si="6"/>
        <v>0</v>
      </c>
      <c r="GP18" s="4">
        <f t="shared" si="6"/>
        <v>0</v>
      </c>
      <c r="GQ18" s="4">
        <f t="shared" si="6"/>
        <v>0</v>
      </c>
      <c r="GR18" s="4">
        <f t="shared" si="6"/>
        <v>0</v>
      </c>
      <c r="GS18" s="4">
        <f t="shared" si="6"/>
        <v>0</v>
      </c>
      <c r="GT18" s="4">
        <f t="shared" si="6"/>
        <v>0</v>
      </c>
      <c r="GU18" s="4">
        <f t="shared" si="6"/>
        <v>0</v>
      </c>
      <c r="GV18" s="4">
        <f t="shared" si="6"/>
        <v>0</v>
      </c>
      <c r="GW18" s="4">
        <f t="shared" si="6"/>
        <v>0</v>
      </c>
      <c r="GX18" s="4">
        <f t="shared" si="6"/>
        <v>0</v>
      </c>
    </row>
    <row r="20" spans="1:255">
      <c r="A20" s="1">
        <v>3</v>
      </c>
      <c r="B20" s="1">
        <v>1</v>
      </c>
      <c r="C20" s="1"/>
      <c r="D20" s="1">
        <f>ROW(A69)</f>
        <v>69</v>
      </c>
      <c r="E20" s="1"/>
      <c r="F20" s="1" t="s">
        <v>3</v>
      </c>
      <c r="G20" s="1" t="s">
        <v>341</v>
      </c>
      <c r="H20" s="1" t="s">
        <v>3</v>
      </c>
      <c r="I20" s="1">
        <v>0</v>
      </c>
      <c r="J20" s="1" t="s">
        <v>3</v>
      </c>
      <c r="K20" s="1">
        <v>-1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>
        <v>73147423</v>
      </c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55">
      <c r="A22" s="3">
        <v>52</v>
      </c>
      <c r="B22" s="3">
        <f t="shared" ref="B22:G22" si="7">B69</f>
        <v>1</v>
      </c>
      <c r="C22" s="3">
        <f t="shared" si="7"/>
        <v>3</v>
      </c>
      <c r="D22" s="3">
        <f t="shared" si="7"/>
        <v>20</v>
      </c>
      <c r="E22" s="3">
        <f t="shared" si="7"/>
        <v>0</v>
      </c>
      <c r="F22" s="3" t="str">
        <f t="shared" si="7"/>
        <v/>
      </c>
      <c r="G22" s="3" t="str">
        <f t="shared" si="7"/>
        <v xml:space="preserve">Удаление деревьев на территории д.Чемоданово Юхновского района </v>
      </c>
      <c r="H22" s="3"/>
      <c r="I22" s="3"/>
      <c r="J22" s="3"/>
      <c r="K22" s="3"/>
      <c r="L22" s="3"/>
      <c r="M22" s="3"/>
      <c r="N22" s="3"/>
      <c r="O22" s="3">
        <f t="shared" ref="O22:AT22" si="8">O69</f>
        <v>4922.7700000000004</v>
      </c>
      <c r="P22" s="3">
        <f t="shared" si="8"/>
        <v>0</v>
      </c>
      <c r="Q22" s="3">
        <f t="shared" si="8"/>
        <v>0</v>
      </c>
      <c r="R22" s="3">
        <f t="shared" si="8"/>
        <v>0</v>
      </c>
      <c r="S22" s="3">
        <f t="shared" si="8"/>
        <v>4922.7700000000004</v>
      </c>
      <c r="T22" s="3">
        <f t="shared" si="8"/>
        <v>0</v>
      </c>
      <c r="U22" s="3">
        <f t="shared" si="8"/>
        <v>544.90200000000004</v>
      </c>
      <c r="V22" s="3">
        <f t="shared" si="8"/>
        <v>0</v>
      </c>
      <c r="W22" s="3">
        <f t="shared" si="8"/>
        <v>0</v>
      </c>
      <c r="X22" s="3">
        <f t="shared" si="8"/>
        <v>4981.92</v>
      </c>
      <c r="Y22" s="3">
        <f t="shared" si="8"/>
        <v>2619</v>
      </c>
      <c r="Z22" s="3">
        <f t="shared" si="8"/>
        <v>0</v>
      </c>
      <c r="AA22" s="3">
        <f t="shared" si="8"/>
        <v>0</v>
      </c>
      <c r="AB22" s="3">
        <f t="shared" si="8"/>
        <v>4922.7700000000004</v>
      </c>
      <c r="AC22" s="3">
        <f t="shared" si="8"/>
        <v>0</v>
      </c>
      <c r="AD22" s="3">
        <f t="shared" si="8"/>
        <v>0</v>
      </c>
      <c r="AE22" s="3">
        <f t="shared" si="8"/>
        <v>0</v>
      </c>
      <c r="AF22" s="3">
        <f t="shared" si="8"/>
        <v>4922.7700000000004</v>
      </c>
      <c r="AG22" s="3">
        <f t="shared" si="8"/>
        <v>0</v>
      </c>
      <c r="AH22" s="3">
        <f t="shared" si="8"/>
        <v>544.90200000000004</v>
      </c>
      <c r="AI22" s="3">
        <f t="shared" si="8"/>
        <v>0</v>
      </c>
      <c r="AJ22" s="3">
        <f t="shared" si="8"/>
        <v>0</v>
      </c>
      <c r="AK22" s="3">
        <f t="shared" si="8"/>
        <v>4981.92</v>
      </c>
      <c r="AL22" s="3">
        <f t="shared" si="8"/>
        <v>2619</v>
      </c>
      <c r="AM22" s="3">
        <f t="shared" si="8"/>
        <v>0</v>
      </c>
      <c r="AN22" s="3">
        <f t="shared" si="8"/>
        <v>0</v>
      </c>
      <c r="AO22" s="3">
        <f t="shared" si="8"/>
        <v>0</v>
      </c>
      <c r="AP22" s="3">
        <f t="shared" si="8"/>
        <v>0</v>
      </c>
      <c r="AQ22" s="3">
        <f t="shared" si="8"/>
        <v>0</v>
      </c>
      <c r="AR22" s="3">
        <f t="shared" si="8"/>
        <v>18950.490000000002</v>
      </c>
      <c r="AS22" s="3">
        <f t="shared" si="8"/>
        <v>18950.490000000002</v>
      </c>
      <c r="AT22" s="3">
        <f t="shared" si="8"/>
        <v>0</v>
      </c>
      <c r="AU22" s="3">
        <f t="shared" ref="AU22:BZ22" si="9">AU69</f>
        <v>0</v>
      </c>
      <c r="AV22" s="3">
        <f t="shared" si="9"/>
        <v>0</v>
      </c>
      <c r="AW22" s="3">
        <f t="shared" si="9"/>
        <v>0</v>
      </c>
      <c r="AX22" s="3">
        <f t="shared" si="9"/>
        <v>0</v>
      </c>
      <c r="AY22" s="3">
        <f t="shared" si="9"/>
        <v>0</v>
      </c>
      <c r="AZ22" s="3">
        <f t="shared" si="9"/>
        <v>0</v>
      </c>
      <c r="BA22" s="3">
        <f t="shared" si="9"/>
        <v>0</v>
      </c>
      <c r="BB22" s="3">
        <f t="shared" si="9"/>
        <v>0</v>
      </c>
      <c r="BC22" s="3">
        <f t="shared" si="9"/>
        <v>0</v>
      </c>
      <c r="BD22" s="3">
        <f t="shared" si="9"/>
        <v>6426.8</v>
      </c>
      <c r="BE22" s="3">
        <f t="shared" si="9"/>
        <v>0</v>
      </c>
      <c r="BF22" s="3">
        <f t="shared" si="9"/>
        <v>0</v>
      </c>
      <c r="BG22" s="3">
        <f t="shared" si="9"/>
        <v>0</v>
      </c>
      <c r="BH22" s="3">
        <f t="shared" si="9"/>
        <v>0</v>
      </c>
      <c r="BI22" s="3">
        <f t="shared" si="9"/>
        <v>0</v>
      </c>
      <c r="BJ22" s="3">
        <f t="shared" si="9"/>
        <v>0</v>
      </c>
      <c r="BK22" s="3">
        <f t="shared" si="9"/>
        <v>0</v>
      </c>
      <c r="BL22" s="3">
        <f t="shared" si="9"/>
        <v>0</v>
      </c>
      <c r="BM22" s="3">
        <f t="shared" si="9"/>
        <v>0</v>
      </c>
      <c r="BN22" s="3">
        <f t="shared" si="9"/>
        <v>0</v>
      </c>
      <c r="BO22" s="3">
        <f t="shared" si="9"/>
        <v>0</v>
      </c>
      <c r="BP22" s="3">
        <f t="shared" si="9"/>
        <v>0</v>
      </c>
      <c r="BQ22" s="3">
        <f t="shared" si="9"/>
        <v>0</v>
      </c>
      <c r="BR22" s="3">
        <f t="shared" si="9"/>
        <v>0</v>
      </c>
      <c r="BS22" s="3">
        <f t="shared" si="9"/>
        <v>0</v>
      </c>
      <c r="BT22" s="3">
        <f t="shared" si="9"/>
        <v>0</v>
      </c>
      <c r="BU22" s="3">
        <f t="shared" si="9"/>
        <v>0</v>
      </c>
      <c r="BV22" s="3">
        <f t="shared" si="9"/>
        <v>0</v>
      </c>
      <c r="BW22" s="3">
        <f t="shared" si="9"/>
        <v>0</v>
      </c>
      <c r="BX22" s="3">
        <f t="shared" si="9"/>
        <v>0</v>
      </c>
      <c r="BY22" s="3">
        <f t="shared" si="9"/>
        <v>0</v>
      </c>
      <c r="BZ22" s="3">
        <f t="shared" si="9"/>
        <v>0</v>
      </c>
      <c r="CA22" s="3">
        <f t="shared" ref="CA22:DF22" si="10">CA69</f>
        <v>18950.490000000002</v>
      </c>
      <c r="CB22" s="3">
        <f t="shared" si="10"/>
        <v>18950.490000000002</v>
      </c>
      <c r="CC22" s="3">
        <f t="shared" si="10"/>
        <v>0</v>
      </c>
      <c r="CD22" s="3">
        <f t="shared" si="10"/>
        <v>0</v>
      </c>
      <c r="CE22" s="3">
        <f t="shared" si="10"/>
        <v>0</v>
      </c>
      <c r="CF22" s="3">
        <f t="shared" si="10"/>
        <v>0</v>
      </c>
      <c r="CG22" s="3">
        <f t="shared" si="10"/>
        <v>0</v>
      </c>
      <c r="CH22" s="3">
        <f t="shared" si="10"/>
        <v>0</v>
      </c>
      <c r="CI22" s="3">
        <f t="shared" si="10"/>
        <v>0</v>
      </c>
      <c r="CJ22" s="3">
        <f t="shared" si="10"/>
        <v>0</v>
      </c>
      <c r="CK22" s="3">
        <f t="shared" si="10"/>
        <v>0</v>
      </c>
      <c r="CL22" s="3">
        <f t="shared" si="10"/>
        <v>0</v>
      </c>
      <c r="CM22" s="3">
        <f t="shared" si="10"/>
        <v>6426.8</v>
      </c>
      <c r="CN22" s="3">
        <f t="shared" si="10"/>
        <v>0</v>
      </c>
      <c r="CO22" s="3">
        <f t="shared" si="10"/>
        <v>0</v>
      </c>
      <c r="CP22" s="3">
        <f t="shared" si="10"/>
        <v>0</v>
      </c>
      <c r="CQ22" s="3">
        <f t="shared" si="10"/>
        <v>0</v>
      </c>
      <c r="CR22" s="3">
        <f t="shared" si="10"/>
        <v>0</v>
      </c>
      <c r="CS22" s="3">
        <f t="shared" si="10"/>
        <v>0</v>
      </c>
      <c r="CT22" s="3">
        <f t="shared" si="10"/>
        <v>0</v>
      </c>
      <c r="CU22" s="3">
        <f t="shared" si="10"/>
        <v>0</v>
      </c>
      <c r="CV22" s="3">
        <f t="shared" si="10"/>
        <v>0</v>
      </c>
      <c r="CW22" s="3">
        <f t="shared" si="10"/>
        <v>0</v>
      </c>
      <c r="CX22" s="3">
        <f t="shared" si="10"/>
        <v>0</v>
      </c>
      <c r="CY22" s="3">
        <f t="shared" si="10"/>
        <v>0</v>
      </c>
      <c r="CZ22" s="3">
        <f t="shared" si="10"/>
        <v>0</v>
      </c>
      <c r="DA22" s="3">
        <f t="shared" si="10"/>
        <v>0</v>
      </c>
      <c r="DB22" s="3">
        <f t="shared" si="10"/>
        <v>0</v>
      </c>
      <c r="DC22" s="3">
        <f t="shared" si="10"/>
        <v>0</v>
      </c>
      <c r="DD22" s="3">
        <f t="shared" si="10"/>
        <v>0</v>
      </c>
      <c r="DE22" s="3">
        <f t="shared" si="10"/>
        <v>0</v>
      </c>
      <c r="DF22" s="3">
        <f t="shared" si="10"/>
        <v>0</v>
      </c>
      <c r="DG22" s="4">
        <f t="shared" ref="DG22:EL22" si="11">DG69</f>
        <v>4922.7700000000004</v>
      </c>
      <c r="DH22" s="4">
        <f t="shared" si="11"/>
        <v>0</v>
      </c>
      <c r="DI22" s="4">
        <f t="shared" si="11"/>
        <v>0</v>
      </c>
      <c r="DJ22" s="4">
        <f t="shared" si="11"/>
        <v>0</v>
      </c>
      <c r="DK22" s="4">
        <f t="shared" si="11"/>
        <v>4922.7700000000004</v>
      </c>
      <c r="DL22" s="4">
        <f t="shared" si="11"/>
        <v>0</v>
      </c>
      <c r="DM22" s="4">
        <f t="shared" si="11"/>
        <v>544.90200000000004</v>
      </c>
      <c r="DN22" s="4">
        <f t="shared" si="11"/>
        <v>0</v>
      </c>
      <c r="DO22" s="4">
        <f t="shared" si="11"/>
        <v>0</v>
      </c>
      <c r="DP22" s="4">
        <f t="shared" si="11"/>
        <v>4981.92</v>
      </c>
      <c r="DQ22" s="4">
        <f t="shared" si="11"/>
        <v>2619</v>
      </c>
      <c r="DR22" s="4">
        <f t="shared" si="11"/>
        <v>0</v>
      </c>
      <c r="DS22" s="4">
        <f t="shared" si="11"/>
        <v>0</v>
      </c>
      <c r="DT22" s="4">
        <f t="shared" si="11"/>
        <v>4922.7700000000004</v>
      </c>
      <c r="DU22" s="4">
        <f t="shared" si="11"/>
        <v>0</v>
      </c>
      <c r="DV22" s="4">
        <f t="shared" si="11"/>
        <v>0</v>
      </c>
      <c r="DW22" s="4">
        <f t="shared" si="11"/>
        <v>0</v>
      </c>
      <c r="DX22" s="4">
        <f t="shared" si="11"/>
        <v>4922.7700000000004</v>
      </c>
      <c r="DY22" s="4">
        <f t="shared" si="11"/>
        <v>0</v>
      </c>
      <c r="DZ22" s="4">
        <f t="shared" si="11"/>
        <v>544.90200000000004</v>
      </c>
      <c r="EA22" s="4">
        <f t="shared" si="11"/>
        <v>0</v>
      </c>
      <c r="EB22" s="4">
        <f t="shared" si="11"/>
        <v>0</v>
      </c>
      <c r="EC22" s="4">
        <f t="shared" si="11"/>
        <v>4981.92</v>
      </c>
      <c r="ED22" s="4">
        <f t="shared" si="11"/>
        <v>2619</v>
      </c>
      <c r="EE22" s="4">
        <f t="shared" si="11"/>
        <v>0</v>
      </c>
      <c r="EF22" s="4">
        <f t="shared" si="11"/>
        <v>0</v>
      </c>
      <c r="EG22" s="4">
        <f t="shared" si="11"/>
        <v>0</v>
      </c>
      <c r="EH22" s="4">
        <f t="shared" si="11"/>
        <v>0</v>
      </c>
      <c r="EI22" s="4">
        <f t="shared" si="11"/>
        <v>0</v>
      </c>
      <c r="EJ22" s="4">
        <f t="shared" si="11"/>
        <v>18950.490000000002</v>
      </c>
      <c r="EK22" s="4">
        <f t="shared" si="11"/>
        <v>18950.490000000002</v>
      </c>
      <c r="EL22" s="4">
        <f t="shared" si="11"/>
        <v>0</v>
      </c>
      <c r="EM22" s="4">
        <f t="shared" ref="EM22:FR22" si="12">EM69</f>
        <v>0</v>
      </c>
      <c r="EN22" s="4">
        <f t="shared" si="12"/>
        <v>0</v>
      </c>
      <c r="EO22" s="4">
        <f t="shared" si="12"/>
        <v>0</v>
      </c>
      <c r="EP22" s="4">
        <f t="shared" si="12"/>
        <v>0</v>
      </c>
      <c r="EQ22" s="4">
        <f t="shared" si="12"/>
        <v>0</v>
      </c>
      <c r="ER22" s="4">
        <f t="shared" si="12"/>
        <v>0</v>
      </c>
      <c r="ES22" s="4">
        <f t="shared" si="12"/>
        <v>0</v>
      </c>
      <c r="ET22" s="4">
        <f t="shared" si="12"/>
        <v>0</v>
      </c>
      <c r="EU22" s="4">
        <f t="shared" si="12"/>
        <v>0</v>
      </c>
      <c r="EV22" s="4">
        <f t="shared" si="12"/>
        <v>6426.8</v>
      </c>
      <c r="EW22" s="4">
        <f t="shared" si="12"/>
        <v>0</v>
      </c>
      <c r="EX22" s="4">
        <f t="shared" si="12"/>
        <v>0</v>
      </c>
      <c r="EY22" s="4">
        <f t="shared" si="12"/>
        <v>0</v>
      </c>
      <c r="EZ22" s="4">
        <f t="shared" si="12"/>
        <v>0</v>
      </c>
      <c r="FA22" s="4">
        <f t="shared" si="12"/>
        <v>0</v>
      </c>
      <c r="FB22" s="4">
        <f t="shared" si="12"/>
        <v>0</v>
      </c>
      <c r="FC22" s="4">
        <f t="shared" si="12"/>
        <v>0</v>
      </c>
      <c r="FD22" s="4">
        <f t="shared" si="12"/>
        <v>0</v>
      </c>
      <c r="FE22" s="4">
        <f t="shared" si="12"/>
        <v>0</v>
      </c>
      <c r="FF22" s="4">
        <f t="shared" si="12"/>
        <v>0</v>
      </c>
      <c r="FG22" s="4">
        <f t="shared" si="12"/>
        <v>0</v>
      </c>
      <c r="FH22" s="4">
        <f t="shared" si="12"/>
        <v>0</v>
      </c>
      <c r="FI22" s="4">
        <f t="shared" si="12"/>
        <v>0</v>
      </c>
      <c r="FJ22" s="4">
        <f t="shared" si="12"/>
        <v>0</v>
      </c>
      <c r="FK22" s="4">
        <f t="shared" si="12"/>
        <v>0</v>
      </c>
      <c r="FL22" s="4">
        <f t="shared" si="12"/>
        <v>0</v>
      </c>
      <c r="FM22" s="4">
        <f t="shared" si="12"/>
        <v>0</v>
      </c>
      <c r="FN22" s="4">
        <f t="shared" si="12"/>
        <v>0</v>
      </c>
      <c r="FO22" s="4">
        <f t="shared" si="12"/>
        <v>0</v>
      </c>
      <c r="FP22" s="4">
        <f t="shared" si="12"/>
        <v>0</v>
      </c>
      <c r="FQ22" s="4">
        <f t="shared" si="12"/>
        <v>0</v>
      </c>
      <c r="FR22" s="4">
        <f t="shared" si="12"/>
        <v>0</v>
      </c>
      <c r="FS22" s="4">
        <f t="shared" ref="FS22:GX22" si="13">FS69</f>
        <v>18950.490000000002</v>
      </c>
      <c r="FT22" s="4">
        <f t="shared" si="13"/>
        <v>18950.490000000002</v>
      </c>
      <c r="FU22" s="4">
        <f t="shared" si="13"/>
        <v>0</v>
      </c>
      <c r="FV22" s="4">
        <f t="shared" si="13"/>
        <v>0</v>
      </c>
      <c r="FW22" s="4">
        <f t="shared" si="13"/>
        <v>0</v>
      </c>
      <c r="FX22" s="4">
        <f t="shared" si="13"/>
        <v>0</v>
      </c>
      <c r="FY22" s="4">
        <f t="shared" si="13"/>
        <v>0</v>
      </c>
      <c r="FZ22" s="4">
        <f t="shared" si="13"/>
        <v>0</v>
      </c>
      <c r="GA22" s="4">
        <f t="shared" si="13"/>
        <v>0</v>
      </c>
      <c r="GB22" s="4">
        <f t="shared" si="13"/>
        <v>0</v>
      </c>
      <c r="GC22" s="4">
        <f t="shared" si="13"/>
        <v>0</v>
      </c>
      <c r="GD22" s="4">
        <f t="shared" si="13"/>
        <v>0</v>
      </c>
      <c r="GE22" s="4">
        <f t="shared" si="13"/>
        <v>6426.8</v>
      </c>
      <c r="GF22" s="4">
        <f t="shared" si="13"/>
        <v>0</v>
      </c>
      <c r="GG22" s="4">
        <f t="shared" si="13"/>
        <v>0</v>
      </c>
      <c r="GH22" s="4">
        <f t="shared" si="13"/>
        <v>0</v>
      </c>
      <c r="GI22" s="4">
        <f t="shared" si="13"/>
        <v>0</v>
      </c>
      <c r="GJ22" s="4">
        <f t="shared" si="13"/>
        <v>0</v>
      </c>
      <c r="GK22" s="4">
        <f t="shared" si="13"/>
        <v>0</v>
      </c>
      <c r="GL22" s="4">
        <f t="shared" si="13"/>
        <v>0</v>
      </c>
      <c r="GM22" s="4">
        <f t="shared" si="13"/>
        <v>0</v>
      </c>
      <c r="GN22" s="4">
        <f t="shared" si="13"/>
        <v>0</v>
      </c>
      <c r="GO22" s="4">
        <f t="shared" si="13"/>
        <v>0</v>
      </c>
      <c r="GP22" s="4">
        <f t="shared" si="13"/>
        <v>0</v>
      </c>
      <c r="GQ22" s="4">
        <f t="shared" si="13"/>
        <v>0</v>
      </c>
      <c r="GR22" s="4">
        <f t="shared" si="13"/>
        <v>0</v>
      </c>
      <c r="GS22" s="4">
        <f t="shared" si="13"/>
        <v>0</v>
      </c>
      <c r="GT22" s="4">
        <f t="shared" si="13"/>
        <v>0</v>
      </c>
      <c r="GU22" s="4">
        <f t="shared" si="13"/>
        <v>0</v>
      </c>
      <c r="GV22" s="4">
        <f t="shared" si="13"/>
        <v>0</v>
      </c>
      <c r="GW22" s="4">
        <f t="shared" si="13"/>
        <v>0</v>
      </c>
      <c r="GX22" s="4">
        <f t="shared" si="13"/>
        <v>0</v>
      </c>
    </row>
    <row r="24" spans="1:255">
      <c r="A24" s="2">
        <v>17</v>
      </c>
      <c r="B24" s="2">
        <v>1</v>
      </c>
      <c r="C24" s="2">
        <f>ROW(SmtRes!A1)</f>
        <v>1</v>
      </c>
      <c r="D24" s="2">
        <f>ROW(EtalonRes!A1)</f>
        <v>1</v>
      </c>
      <c r="E24" s="2" t="s">
        <v>18</v>
      </c>
      <c r="F24" s="2" t="s">
        <v>19</v>
      </c>
      <c r="G24" s="2" t="s">
        <v>20</v>
      </c>
      <c r="H24" s="2" t="s">
        <v>21</v>
      </c>
      <c r="I24" s="2">
        <f>ROUND(ROUND((1.49+4.69*6),4),7)</f>
        <v>29.63</v>
      </c>
      <c r="J24" s="2">
        <v>0</v>
      </c>
      <c r="K24" s="2">
        <f>ROUND(ROUND((1.49+4.69*6),4),7)</f>
        <v>29.63</v>
      </c>
      <c r="L24" s="2"/>
      <c r="M24" s="2"/>
      <c r="N24" s="2"/>
      <c r="O24" s="2">
        <f t="shared" ref="O24:O33" si="14">ROUND(CP24,2)</f>
        <v>773.94</v>
      </c>
      <c r="P24" s="2">
        <f t="shared" ref="P24:P33" si="15">ROUND(CQ24*I24,2)</f>
        <v>0</v>
      </c>
      <c r="Q24" s="2">
        <f t="shared" ref="Q24:Q33" si="16">ROUND(CR24*I24,2)</f>
        <v>0</v>
      </c>
      <c r="R24" s="2">
        <f t="shared" ref="R24:R33" si="17">ROUND(CS24*I24,2)</f>
        <v>0</v>
      </c>
      <c r="S24" s="2">
        <f t="shared" ref="S24:S33" si="18">ROUND(CT24*I24,2)</f>
        <v>773.94</v>
      </c>
      <c r="T24" s="2">
        <f t="shared" ref="T24:T33" si="19">ROUND(CU24*I24,2)</f>
        <v>0</v>
      </c>
      <c r="U24" s="2">
        <f t="shared" ref="U24:U33" si="20">CV24*I24</f>
        <v>85.334399999999988</v>
      </c>
      <c r="V24" s="2">
        <f t="shared" ref="V24:V33" si="21">CW24*I24</f>
        <v>0</v>
      </c>
      <c r="W24" s="2">
        <f t="shared" ref="W24:W33" si="22">ROUND(CX24*I24,2)</f>
        <v>0</v>
      </c>
      <c r="X24" s="2">
        <f t="shared" ref="X24:X33" si="23">ROUND(CY24,2)</f>
        <v>789.42</v>
      </c>
      <c r="Y24" s="2">
        <f t="shared" ref="Y24:Y33" si="24">ROUND(CZ24,2)</f>
        <v>417.93</v>
      </c>
      <c r="Z24" s="2"/>
      <c r="AA24" s="2">
        <v>73147424</v>
      </c>
      <c r="AB24" s="2">
        <f t="shared" ref="AB24:AB33" si="25">ROUND((AC24+AD24+AF24),2)</f>
        <v>26.12</v>
      </c>
      <c r="AC24" s="2">
        <f t="shared" ref="AC24:AC33" si="26">ROUND((ES24),2)</f>
        <v>0</v>
      </c>
      <c r="AD24" s="2">
        <f t="shared" ref="AD24:AD33" si="27">ROUND((((ET24)-(EU24))+AE24),2)</f>
        <v>0</v>
      </c>
      <c r="AE24" s="2">
        <f t="shared" ref="AE24:AE33" si="28">ROUND((EU24),2)</f>
        <v>0</v>
      </c>
      <c r="AF24" s="2">
        <f t="shared" ref="AF24:AF33" si="29">ROUND((EV24),2)</f>
        <v>26.12</v>
      </c>
      <c r="AG24" s="2">
        <f t="shared" ref="AG24:AG33" si="30">ROUND((AP24),2)</f>
        <v>0</v>
      </c>
      <c r="AH24" s="2">
        <f t="shared" ref="AH24:AH33" si="31">(EW24)</f>
        <v>2.88</v>
      </c>
      <c r="AI24" s="2">
        <f t="shared" ref="AI24:AI33" si="32">(EX24)</f>
        <v>0</v>
      </c>
      <c r="AJ24" s="2">
        <f t="shared" ref="AJ24:AJ33" si="33">(AS24)</f>
        <v>0</v>
      </c>
      <c r="AK24" s="2">
        <v>26.12</v>
      </c>
      <c r="AL24" s="2">
        <v>0</v>
      </c>
      <c r="AM24" s="2">
        <v>0</v>
      </c>
      <c r="AN24" s="2">
        <v>0</v>
      </c>
      <c r="AO24" s="2">
        <v>26.12</v>
      </c>
      <c r="AP24" s="2">
        <v>0</v>
      </c>
      <c r="AQ24" s="2">
        <v>2.88</v>
      </c>
      <c r="AR24" s="2">
        <v>0</v>
      </c>
      <c r="AS24" s="2">
        <v>0</v>
      </c>
      <c r="AT24" s="2">
        <v>102</v>
      </c>
      <c r="AU24" s="2">
        <v>54</v>
      </c>
      <c r="AV24" s="2">
        <v>1</v>
      </c>
      <c r="AW24" s="2">
        <v>1</v>
      </c>
      <c r="AX24" s="2"/>
      <c r="AY24" s="2"/>
      <c r="AZ24" s="2">
        <v>1</v>
      </c>
      <c r="BA24" s="2">
        <v>1</v>
      </c>
      <c r="BB24" s="2">
        <v>1</v>
      </c>
      <c r="BC24" s="2">
        <v>1</v>
      </c>
      <c r="BD24" s="2" t="s">
        <v>3</v>
      </c>
      <c r="BE24" s="2" t="s">
        <v>3</v>
      </c>
      <c r="BF24" s="2" t="s">
        <v>3</v>
      </c>
      <c r="BG24" s="2" t="s">
        <v>3</v>
      </c>
      <c r="BH24" s="2">
        <v>0</v>
      </c>
      <c r="BI24" s="2">
        <v>1</v>
      </c>
      <c r="BJ24" s="2" t="s">
        <v>22</v>
      </c>
      <c r="BK24" s="2"/>
      <c r="BL24" s="2"/>
      <c r="BM24" s="2">
        <v>68001</v>
      </c>
      <c r="BN24" s="2">
        <v>0</v>
      </c>
      <c r="BO24" s="2" t="s">
        <v>3</v>
      </c>
      <c r="BP24" s="2">
        <v>0</v>
      </c>
      <c r="BQ24" s="2">
        <v>6</v>
      </c>
      <c r="BR24" s="2">
        <v>0</v>
      </c>
      <c r="BS24" s="2">
        <v>1</v>
      </c>
      <c r="BT24" s="2">
        <v>1</v>
      </c>
      <c r="BU24" s="2">
        <v>1</v>
      </c>
      <c r="BV24" s="2">
        <v>1</v>
      </c>
      <c r="BW24" s="2">
        <v>1</v>
      </c>
      <c r="BX24" s="2">
        <v>1</v>
      </c>
      <c r="BY24" s="2" t="s">
        <v>3</v>
      </c>
      <c r="BZ24" s="2">
        <v>102</v>
      </c>
      <c r="CA24" s="2">
        <v>54</v>
      </c>
      <c r="CB24" s="2" t="s">
        <v>3</v>
      </c>
      <c r="CC24" s="2"/>
      <c r="CD24" s="2"/>
      <c r="CE24" s="2">
        <v>0</v>
      </c>
      <c r="CF24" s="2">
        <v>0</v>
      </c>
      <c r="CG24" s="2">
        <v>0</v>
      </c>
      <c r="CH24" s="2"/>
      <c r="CI24" s="2"/>
      <c r="CJ24" s="2"/>
      <c r="CK24" s="2"/>
      <c r="CL24" s="2"/>
      <c r="CM24" s="2">
        <v>0</v>
      </c>
      <c r="CN24" s="2" t="s">
        <v>3</v>
      </c>
      <c r="CO24" s="2">
        <v>0</v>
      </c>
      <c r="CP24" s="2">
        <f t="shared" ref="CP24:CP33" si="34">(P24+Q24+S24)</f>
        <v>773.94</v>
      </c>
      <c r="CQ24" s="2">
        <f t="shared" ref="CQ24:CQ33" si="35">AC24*BC24</f>
        <v>0</v>
      </c>
      <c r="CR24" s="2">
        <f t="shared" ref="CR24:CR33" si="36">AD24*BB24</f>
        <v>0</v>
      </c>
      <c r="CS24" s="2">
        <f t="shared" ref="CS24:CS33" si="37">AE24</f>
        <v>0</v>
      </c>
      <c r="CT24" s="2">
        <f t="shared" ref="CT24:CT33" si="38">AF24</f>
        <v>26.12</v>
      </c>
      <c r="CU24" s="2">
        <f t="shared" ref="CU24:CU33" si="39">AG24</f>
        <v>0</v>
      </c>
      <c r="CV24" s="2">
        <f t="shared" ref="CV24:CV33" si="40">AH24</f>
        <v>2.88</v>
      </c>
      <c r="CW24" s="2">
        <f t="shared" ref="CW24:CW33" si="41">AI24</f>
        <v>0</v>
      </c>
      <c r="CX24" s="2">
        <f t="shared" ref="CX24:CX33" si="42">AJ24</f>
        <v>0</v>
      </c>
      <c r="CY24" s="2">
        <f t="shared" ref="CY24:CY33" si="43">(((S24+R24)*AT24)/100)</f>
        <v>789.41880000000003</v>
      </c>
      <c r="CZ24" s="2">
        <f t="shared" ref="CZ24:CZ33" si="44">(((S24+R24)*AU24)/100)</f>
        <v>417.92760000000004</v>
      </c>
      <c r="DA24" s="2"/>
      <c r="DB24" s="2"/>
      <c r="DC24" s="2" t="s">
        <v>3</v>
      </c>
      <c r="DD24" s="2" t="s">
        <v>3</v>
      </c>
      <c r="DE24" s="2" t="s">
        <v>3</v>
      </c>
      <c r="DF24" s="2" t="s">
        <v>3</v>
      </c>
      <c r="DG24" s="2" t="s">
        <v>3</v>
      </c>
      <c r="DH24" s="2" t="s">
        <v>3</v>
      </c>
      <c r="DI24" s="2" t="s">
        <v>3</v>
      </c>
      <c r="DJ24" s="2" t="s">
        <v>3</v>
      </c>
      <c r="DK24" s="2" t="s">
        <v>3</v>
      </c>
      <c r="DL24" s="2" t="s">
        <v>3</v>
      </c>
      <c r="DM24" s="2" t="s">
        <v>3</v>
      </c>
      <c r="DN24" s="2">
        <v>0</v>
      </c>
      <c r="DO24" s="2">
        <v>0</v>
      </c>
      <c r="DP24" s="2">
        <v>1</v>
      </c>
      <c r="DQ24" s="2">
        <v>1</v>
      </c>
      <c r="DR24" s="2"/>
      <c r="DS24" s="2"/>
      <c r="DT24" s="2"/>
      <c r="DU24" s="2">
        <v>1007</v>
      </c>
      <c r="DV24" s="2" t="s">
        <v>21</v>
      </c>
      <c r="DW24" s="2" t="s">
        <v>21</v>
      </c>
      <c r="DX24" s="2">
        <v>1</v>
      </c>
      <c r="DY24" s="2"/>
      <c r="DZ24" s="2" t="s">
        <v>3</v>
      </c>
      <c r="EA24" s="2" t="s">
        <v>3</v>
      </c>
      <c r="EB24" s="2" t="s">
        <v>3</v>
      </c>
      <c r="EC24" s="2" t="s">
        <v>3</v>
      </c>
      <c r="ED24" s="2"/>
      <c r="EE24" s="2">
        <v>65361239</v>
      </c>
      <c r="EF24" s="2">
        <v>6</v>
      </c>
      <c r="EG24" s="2" t="s">
        <v>23</v>
      </c>
      <c r="EH24" s="2">
        <v>102</v>
      </c>
      <c r="EI24" s="2" t="s">
        <v>24</v>
      </c>
      <c r="EJ24" s="2">
        <v>1</v>
      </c>
      <c r="EK24" s="2">
        <v>68001</v>
      </c>
      <c r="EL24" s="2" t="s">
        <v>24</v>
      </c>
      <c r="EM24" s="2" t="s">
        <v>25</v>
      </c>
      <c r="EN24" s="2"/>
      <c r="EO24" s="2" t="s">
        <v>3</v>
      </c>
      <c r="EP24" s="2"/>
      <c r="EQ24" s="2">
        <v>0</v>
      </c>
      <c r="ER24" s="2">
        <v>26.12</v>
      </c>
      <c r="ES24" s="2">
        <v>0</v>
      </c>
      <c r="ET24" s="2">
        <v>0</v>
      </c>
      <c r="EU24" s="2">
        <v>0</v>
      </c>
      <c r="EV24" s="2">
        <v>26.12</v>
      </c>
      <c r="EW24" s="2">
        <v>2.88</v>
      </c>
      <c r="EX24" s="2">
        <v>0</v>
      </c>
      <c r="EY24" s="2">
        <v>0</v>
      </c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>
        <v>0</v>
      </c>
      <c r="FR24" s="2">
        <f t="shared" ref="FR24:FR67" si="45">ROUND(IF(AND(BH24=3,BI24=3),P24,0),2)</f>
        <v>0</v>
      </c>
      <c r="FS24" s="2">
        <v>0</v>
      </c>
      <c r="FT24" s="2"/>
      <c r="FU24" s="2"/>
      <c r="FV24" s="2"/>
      <c r="FW24" s="2"/>
      <c r="FX24" s="2">
        <v>102</v>
      </c>
      <c r="FY24" s="2">
        <v>54</v>
      </c>
      <c r="FZ24" s="2"/>
      <c r="GA24" s="2" t="s">
        <v>3</v>
      </c>
      <c r="GB24" s="2"/>
      <c r="GC24" s="2"/>
      <c r="GD24" s="2">
        <v>1</v>
      </c>
      <c r="GE24" s="2"/>
      <c r="GF24" s="2">
        <v>-1480003501</v>
      </c>
      <c r="GG24" s="2">
        <v>2</v>
      </c>
      <c r="GH24" s="2">
        <v>1</v>
      </c>
      <c r="GI24" s="2">
        <v>-2</v>
      </c>
      <c r="GJ24" s="2">
        <v>0</v>
      </c>
      <c r="GK24" s="2">
        <v>0</v>
      </c>
      <c r="GL24" s="2">
        <f t="shared" ref="GL24:GL67" si="46">ROUND(IF(AND(BH24=3,BI24=3,FS24&lt;&gt;0),P24,0),2)</f>
        <v>0</v>
      </c>
      <c r="GM24" s="2">
        <f t="shared" ref="GM24:GM33" si="47">ROUND(O24+X24+Y24,2)+GX24</f>
        <v>1981.29</v>
      </c>
      <c r="GN24" s="2">
        <f t="shared" ref="GN24:GN33" si="48">IF(OR(BI24=0,BI24=1),ROUND(O24+X24+Y24,2),0)</f>
        <v>1981.29</v>
      </c>
      <c r="GO24" s="2">
        <f t="shared" ref="GO24:GO33" si="49">IF(BI24=2,ROUND(O24+X24+Y24,2),0)</f>
        <v>0</v>
      </c>
      <c r="GP24" s="2">
        <f t="shared" ref="GP24:GP33" si="50">IF(BI24=4,ROUND(O24+X24+Y24,2)+GX24,0)</f>
        <v>0</v>
      </c>
      <c r="GQ24" s="2"/>
      <c r="GR24" s="2">
        <v>0</v>
      </c>
      <c r="GS24" s="2">
        <v>3</v>
      </c>
      <c r="GT24" s="2">
        <v>0</v>
      </c>
      <c r="GU24" s="2" t="s">
        <v>3</v>
      </c>
      <c r="GV24" s="2">
        <f t="shared" ref="GV24:GV33" si="51">ROUND((GT24),2)</f>
        <v>0</v>
      </c>
      <c r="GW24" s="2">
        <v>1</v>
      </c>
      <c r="GX24" s="2">
        <f t="shared" ref="GX24:GX33" si="52">ROUND(HC24*I24,2)</f>
        <v>0</v>
      </c>
      <c r="GY24" s="2"/>
      <c r="GZ24" s="2"/>
      <c r="HA24" s="2">
        <v>0</v>
      </c>
      <c r="HB24" s="2">
        <v>0</v>
      </c>
      <c r="HC24" s="2">
        <f t="shared" ref="HC24:HC33" si="53">GV24*GW24</f>
        <v>0</v>
      </c>
      <c r="HD24" s="2"/>
      <c r="HE24" s="2" t="s">
        <v>3</v>
      </c>
      <c r="HF24" s="2" t="s">
        <v>3</v>
      </c>
      <c r="HG24" s="2"/>
      <c r="HH24" s="2"/>
      <c r="HI24" s="2">
        <f t="shared" ref="HI24:HI67" si="54">ROUND(R24*BS24,2)</f>
        <v>0</v>
      </c>
      <c r="HJ24" s="2">
        <f t="shared" ref="HJ24:HJ67" si="55">ROUND(S24*BA24,2)</f>
        <v>773.94</v>
      </c>
      <c r="HK24" s="2">
        <f t="shared" ref="HK24:HK33" si="56">ROUND((((HJ24+HI24)*AT24)/100),2)</f>
        <v>789.42</v>
      </c>
      <c r="HL24" s="2">
        <f t="shared" ref="HL24:HL33" si="57">ROUND((((HJ24+HI24)*AU24)/100),2)</f>
        <v>417.93</v>
      </c>
      <c r="HM24" s="2" t="s">
        <v>3</v>
      </c>
      <c r="HN24" s="2" t="s">
        <v>26</v>
      </c>
      <c r="HO24" s="2" t="s">
        <v>27</v>
      </c>
      <c r="HP24" s="2" t="s">
        <v>24</v>
      </c>
      <c r="HQ24" s="2" t="s">
        <v>24</v>
      </c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>
        <v>0</v>
      </c>
      <c r="IL24" s="2"/>
      <c r="IM24" s="2"/>
      <c r="IN24" s="2"/>
      <c r="IO24" s="2"/>
      <c r="IP24" s="2"/>
      <c r="IQ24" s="2"/>
      <c r="IR24" s="2"/>
      <c r="IS24" s="2"/>
      <c r="IT24" s="2"/>
      <c r="IU24" s="2"/>
    </row>
    <row r="25" spans="1:255">
      <c r="A25">
        <v>17</v>
      </c>
      <c r="B25">
        <v>1</v>
      </c>
      <c r="C25">
        <f>ROW(SmtRes!A2)</f>
        <v>2</v>
      </c>
      <c r="D25">
        <f>ROW(EtalonRes!A2)</f>
        <v>2</v>
      </c>
      <c r="E25" t="s">
        <v>18</v>
      </c>
      <c r="F25" t="s">
        <v>19</v>
      </c>
      <c r="G25" t="s">
        <v>20</v>
      </c>
      <c r="H25" t="s">
        <v>21</v>
      </c>
      <c r="I25">
        <f>ROUND(ROUND((1.49+4.69*6),4),7)</f>
        <v>29.63</v>
      </c>
      <c r="J25">
        <v>0</v>
      </c>
      <c r="K25">
        <f>ROUND(ROUND((1.49+4.69*6),4),7)</f>
        <v>29.63</v>
      </c>
      <c r="O25">
        <f t="shared" si="14"/>
        <v>773.94</v>
      </c>
      <c r="P25">
        <f t="shared" si="15"/>
        <v>0</v>
      </c>
      <c r="Q25">
        <f t="shared" si="16"/>
        <v>0</v>
      </c>
      <c r="R25">
        <f t="shared" si="17"/>
        <v>0</v>
      </c>
      <c r="S25">
        <f t="shared" si="18"/>
        <v>773.94</v>
      </c>
      <c r="T25">
        <f t="shared" si="19"/>
        <v>0</v>
      </c>
      <c r="U25">
        <f t="shared" si="20"/>
        <v>85.334399999999988</v>
      </c>
      <c r="V25">
        <f t="shared" si="21"/>
        <v>0</v>
      </c>
      <c r="W25">
        <f t="shared" si="22"/>
        <v>0</v>
      </c>
      <c r="X25">
        <f t="shared" si="23"/>
        <v>789.42</v>
      </c>
      <c r="Y25">
        <f t="shared" si="24"/>
        <v>417.93</v>
      </c>
      <c r="AA25">
        <v>73147422</v>
      </c>
      <c r="AB25">
        <f t="shared" si="25"/>
        <v>26.12</v>
      </c>
      <c r="AC25">
        <f t="shared" si="26"/>
        <v>0</v>
      </c>
      <c r="AD25">
        <f t="shared" si="27"/>
        <v>0</v>
      </c>
      <c r="AE25">
        <f t="shared" si="28"/>
        <v>0</v>
      </c>
      <c r="AF25">
        <f t="shared" si="29"/>
        <v>26.12</v>
      </c>
      <c r="AG25">
        <f t="shared" si="30"/>
        <v>0</v>
      </c>
      <c r="AH25">
        <f t="shared" si="31"/>
        <v>2.88</v>
      </c>
      <c r="AI25">
        <f t="shared" si="32"/>
        <v>0</v>
      </c>
      <c r="AJ25">
        <f t="shared" si="33"/>
        <v>0</v>
      </c>
      <c r="AK25">
        <v>26.12</v>
      </c>
      <c r="AL25">
        <v>0</v>
      </c>
      <c r="AM25">
        <v>0</v>
      </c>
      <c r="AN25">
        <v>0</v>
      </c>
      <c r="AO25">
        <v>26.12</v>
      </c>
      <c r="AP25">
        <v>0</v>
      </c>
      <c r="AQ25">
        <v>2.88</v>
      </c>
      <c r="AR25">
        <v>0</v>
      </c>
      <c r="AS25">
        <v>0</v>
      </c>
      <c r="AT25">
        <v>102</v>
      </c>
      <c r="AU25">
        <v>54</v>
      </c>
      <c r="AV25">
        <v>1</v>
      </c>
      <c r="AW25">
        <v>1</v>
      </c>
      <c r="AZ25">
        <v>1</v>
      </c>
      <c r="BA25">
        <v>24.24</v>
      </c>
      <c r="BB25">
        <v>1</v>
      </c>
      <c r="BC25">
        <v>1</v>
      </c>
      <c r="BD25" t="s">
        <v>3</v>
      </c>
      <c r="BE25" t="s">
        <v>3</v>
      </c>
      <c r="BF25" t="s">
        <v>3</v>
      </c>
      <c r="BG25" t="s">
        <v>3</v>
      </c>
      <c r="BH25">
        <v>0</v>
      </c>
      <c r="BI25">
        <v>1</v>
      </c>
      <c r="BJ25" t="s">
        <v>22</v>
      </c>
      <c r="BM25">
        <v>68001</v>
      </c>
      <c r="BN25">
        <v>0</v>
      </c>
      <c r="BO25" t="s">
        <v>3</v>
      </c>
      <c r="BP25">
        <v>0</v>
      </c>
      <c r="BQ25">
        <v>6</v>
      </c>
      <c r="BR25">
        <v>0</v>
      </c>
      <c r="BS25">
        <v>24.24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102</v>
      </c>
      <c r="CA25">
        <v>54</v>
      </c>
      <c r="CB25" t="s">
        <v>3</v>
      </c>
      <c r="CE25">
        <v>0</v>
      </c>
      <c r="CF25">
        <v>0</v>
      </c>
      <c r="CG25">
        <v>0</v>
      </c>
      <c r="CM25">
        <v>0</v>
      </c>
      <c r="CN25" t="s">
        <v>3</v>
      </c>
      <c r="CO25">
        <v>0</v>
      </c>
      <c r="CP25">
        <f t="shared" si="34"/>
        <v>773.94</v>
      </c>
      <c r="CQ25">
        <f t="shared" si="35"/>
        <v>0</v>
      </c>
      <c r="CR25">
        <f t="shared" si="36"/>
        <v>0</v>
      </c>
      <c r="CS25">
        <f t="shared" si="37"/>
        <v>0</v>
      </c>
      <c r="CT25">
        <f t="shared" si="38"/>
        <v>26.12</v>
      </c>
      <c r="CU25">
        <f t="shared" si="39"/>
        <v>0</v>
      </c>
      <c r="CV25">
        <f t="shared" si="40"/>
        <v>2.88</v>
      </c>
      <c r="CW25">
        <f t="shared" si="41"/>
        <v>0</v>
      </c>
      <c r="CX25">
        <f t="shared" si="42"/>
        <v>0</v>
      </c>
      <c r="CY25">
        <f t="shared" si="43"/>
        <v>789.41880000000003</v>
      </c>
      <c r="CZ25">
        <f t="shared" si="44"/>
        <v>417.92760000000004</v>
      </c>
      <c r="DC25" t="s">
        <v>3</v>
      </c>
      <c r="DD25" t="s">
        <v>3</v>
      </c>
      <c r="DE25" t="s">
        <v>3</v>
      </c>
      <c r="DF25" t="s">
        <v>3</v>
      </c>
      <c r="DG25" t="s">
        <v>3</v>
      </c>
      <c r="DH25" t="s">
        <v>3</v>
      </c>
      <c r="DI25" t="s">
        <v>3</v>
      </c>
      <c r="DJ25" t="s">
        <v>3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U25">
        <v>1007</v>
      </c>
      <c r="DV25" t="s">
        <v>21</v>
      </c>
      <c r="DW25" t="s">
        <v>21</v>
      </c>
      <c r="DX25">
        <v>1</v>
      </c>
      <c r="DZ25" t="s">
        <v>3</v>
      </c>
      <c r="EA25" t="s">
        <v>3</v>
      </c>
      <c r="EB25" t="s">
        <v>3</v>
      </c>
      <c r="EC25" t="s">
        <v>3</v>
      </c>
      <c r="EE25">
        <v>65361239</v>
      </c>
      <c r="EF25">
        <v>6</v>
      </c>
      <c r="EG25" t="s">
        <v>23</v>
      </c>
      <c r="EH25">
        <v>102</v>
      </c>
      <c r="EI25" t="s">
        <v>24</v>
      </c>
      <c r="EJ25">
        <v>1</v>
      </c>
      <c r="EK25">
        <v>68001</v>
      </c>
      <c r="EL25" t="s">
        <v>24</v>
      </c>
      <c r="EM25" t="s">
        <v>25</v>
      </c>
      <c r="EO25" t="s">
        <v>3</v>
      </c>
      <c r="EQ25">
        <v>0</v>
      </c>
      <c r="ER25">
        <v>26.12</v>
      </c>
      <c r="ES25">
        <v>0</v>
      </c>
      <c r="ET25">
        <v>0</v>
      </c>
      <c r="EU25">
        <v>0</v>
      </c>
      <c r="EV25">
        <v>26.12</v>
      </c>
      <c r="EW25">
        <v>2.88</v>
      </c>
      <c r="EX25">
        <v>0</v>
      </c>
      <c r="EY25">
        <v>0</v>
      </c>
      <c r="FQ25">
        <v>0</v>
      </c>
      <c r="FR25">
        <f t="shared" si="45"/>
        <v>0</v>
      </c>
      <c r="FS25">
        <v>0</v>
      </c>
      <c r="FX25">
        <v>102</v>
      </c>
      <c r="FY25">
        <v>54</v>
      </c>
      <c r="GA25" t="s">
        <v>3</v>
      </c>
      <c r="GD25">
        <v>1</v>
      </c>
      <c r="GF25">
        <v>-1480003501</v>
      </c>
      <c r="GG25">
        <v>2</v>
      </c>
      <c r="GH25">
        <v>1</v>
      </c>
      <c r="GI25">
        <v>4</v>
      </c>
      <c r="GJ25">
        <v>0</v>
      </c>
      <c r="GK25">
        <v>0</v>
      </c>
      <c r="GL25">
        <f t="shared" si="46"/>
        <v>0</v>
      </c>
      <c r="GM25">
        <f t="shared" si="47"/>
        <v>1981.29</v>
      </c>
      <c r="GN25">
        <f t="shared" si="48"/>
        <v>1981.29</v>
      </c>
      <c r="GO25">
        <f t="shared" si="49"/>
        <v>0</v>
      </c>
      <c r="GP25">
        <f t="shared" si="50"/>
        <v>0</v>
      </c>
      <c r="GR25">
        <v>0</v>
      </c>
      <c r="GS25">
        <v>3</v>
      </c>
      <c r="GT25">
        <v>0</v>
      </c>
      <c r="GU25" t="s">
        <v>3</v>
      </c>
      <c r="GV25">
        <f t="shared" si="51"/>
        <v>0</v>
      </c>
      <c r="GW25">
        <v>1</v>
      </c>
      <c r="GX25">
        <f t="shared" si="52"/>
        <v>0</v>
      </c>
      <c r="HA25">
        <v>0</v>
      </c>
      <c r="HB25">
        <v>0</v>
      </c>
      <c r="HC25">
        <f t="shared" si="53"/>
        <v>0</v>
      </c>
      <c r="HE25" t="s">
        <v>3</v>
      </c>
      <c r="HF25" t="s">
        <v>3</v>
      </c>
      <c r="HI25">
        <f t="shared" si="54"/>
        <v>0</v>
      </c>
      <c r="HJ25">
        <f t="shared" si="55"/>
        <v>18760.310000000001</v>
      </c>
      <c r="HK25">
        <f t="shared" si="56"/>
        <v>19135.52</v>
      </c>
      <c r="HL25">
        <f t="shared" si="57"/>
        <v>10130.57</v>
      </c>
      <c r="HM25" t="s">
        <v>3</v>
      </c>
      <c r="HN25" t="s">
        <v>26</v>
      </c>
      <c r="HO25" t="s">
        <v>27</v>
      </c>
      <c r="HP25" t="s">
        <v>24</v>
      </c>
      <c r="HQ25" t="s">
        <v>24</v>
      </c>
      <c r="IK25">
        <v>0</v>
      </c>
    </row>
    <row r="26" spans="1:255">
      <c r="A26" s="2">
        <v>17</v>
      </c>
      <c r="B26" s="2">
        <v>1</v>
      </c>
      <c r="C26" s="2">
        <f>ROW(SmtRes!A3)</f>
        <v>3</v>
      </c>
      <c r="D26" s="2">
        <f>ROW(EtalonRes!A3)</f>
        <v>3</v>
      </c>
      <c r="E26" s="2" t="s">
        <v>28</v>
      </c>
      <c r="F26" s="2" t="s">
        <v>29</v>
      </c>
      <c r="G26" s="2" t="s">
        <v>30</v>
      </c>
      <c r="H26" s="2" t="s">
        <v>21</v>
      </c>
      <c r="I26" s="2">
        <f>ROUND(ROUND(((4.69*16)),4),7)</f>
        <v>75.040000000000006</v>
      </c>
      <c r="J26" s="2">
        <v>0</v>
      </c>
      <c r="K26" s="2">
        <f>ROUND(ROUND(((4.69*16)),4),7)</f>
        <v>75.040000000000006</v>
      </c>
      <c r="L26" s="2"/>
      <c r="M26" s="2"/>
      <c r="N26" s="2"/>
      <c r="O26" s="2">
        <f t="shared" si="14"/>
        <v>1680.9</v>
      </c>
      <c r="P26" s="2">
        <f t="shared" si="15"/>
        <v>0</v>
      </c>
      <c r="Q26" s="2">
        <f t="shared" si="16"/>
        <v>0</v>
      </c>
      <c r="R26" s="2">
        <f t="shared" si="17"/>
        <v>0</v>
      </c>
      <c r="S26" s="2">
        <f t="shared" si="18"/>
        <v>1680.9</v>
      </c>
      <c r="T26" s="2">
        <f t="shared" si="19"/>
        <v>0</v>
      </c>
      <c r="U26" s="2">
        <f t="shared" si="20"/>
        <v>185.34880000000004</v>
      </c>
      <c r="V26" s="2">
        <f t="shared" si="21"/>
        <v>0</v>
      </c>
      <c r="W26" s="2">
        <f t="shared" si="22"/>
        <v>0</v>
      </c>
      <c r="X26" s="2">
        <f t="shared" si="23"/>
        <v>1714.52</v>
      </c>
      <c r="Y26" s="2">
        <f t="shared" si="24"/>
        <v>907.69</v>
      </c>
      <c r="Z26" s="2"/>
      <c r="AA26" s="2">
        <v>73147424</v>
      </c>
      <c r="AB26" s="2">
        <f t="shared" si="25"/>
        <v>22.4</v>
      </c>
      <c r="AC26" s="2">
        <f t="shared" si="26"/>
        <v>0</v>
      </c>
      <c r="AD26" s="2">
        <f t="shared" si="27"/>
        <v>0</v>
      </c>
      <c r="AE26" s="2">
        <f t="shared" si="28"/>
        <v>0</v>
      </c>
      <c r="AF26" s="2">
        <f t="shared" si="29"/>
        <v>22.4</v>
      </c>
      <c r="AG26" s="2">
        <f t="shared" si="30"/>
        <v>0</v>
      </c>
      <c r="AH26" s="2">
        <f t="shared" si="31"/>
        <v>2.4700000000000002</v>
      </c>
      <c r="AI26" s="2">
        <f t="shared" si="32"/>
        <v>0</v>
      </c>
      <c r="AJ26" s="2">
        <f t="shared" si="33"/>
        <v>0</v>
      </c>
      <c r="AK26" s="2">
        <v>22.4</v>
      </c>
      <c r="AL26" s="2">
        <v>0</v>
      </c>
      <c r="AM26" s="2">
        <v>0</v>
      </c>
      <c r="AN26" s="2">
        <v>0</v>
      </c>
      <c r="AO26" s="2">
        <v>22.4</v>
      </c>
      <c r="AP26" s="2">
        <v>0</v>
      </c>
      <c r="AQ26" s="2">
        <v>2.4700000000000002</v>
      </c>
      <c r="AR26" s="2">
        <v>0</v>
      </c>
      <c r="AS26" s="2">
        <v>0</v>
      </c>
      <c r="AT26" s="2">
        <v>102</v>
      </c>
      <c r="AU26" s="2">
        <v>54</v>
      </c>
      <c r="AV26" s="2">
        <v>1</v>
      </c>
      <c r="AW26" s="2">
        <v>1</v>
      </c>
      <c r="AX26" s="2"/>
      <c r="AY26" s="2"/>
      <c r="AZ26" s="2">
        <v>1</v>
      </c>
      <c r="BA26" s="2">
        <v>1</v>
      </c>
      <c r="BB26" s="2">
        <v>1</v>
      </c>
      <c r="BC26" s="2">
        <v>1</v>
      </c>
      <c r="BD26" s="2" t="s">
        <v>3</v>
      </c>
      <c r="BE26" s="2" t="s">
        <v>3</v>
      </c>
      <c r="BF26" s="2" t="s">
        <v>3</v>
      </c>
      <c r="BG26" s="2" t="s">
        <v>3</v>
      </c>
      <c r="BH26" s="2">
        <v>0</v>
      </c>
      <c r="BI26" s="2">
        <v>1</v>
      </c>
      <c r="BJ26" s="2" t="s">
        <v>31</v>
      </c>
      <c r="BK26" s="2"/>
      <c r="BL26" s="2"/>
      <c r="BM26" s="2">
        <v>68001</v>
      </c>
      <c r="BN26" s="2">
        <v>0</v>
      </c>
      <c r="BO26" s="2" t="s">
        <v>3</v>
      </c>
      <c r="BP26" s="2">
        <v>0</v>
      </c>
      <c r="BQ26" s="2">
        <v>6</v>
      </c>
      <c r="BR26" s="2">
        <v>0</v>
      </c>
      <c r="BS26" s="2">
        <v>1</v>
      </c>
      <c r="BT26" s="2">
        <v>1</v>
      </c>
      <c r="BU26" s="2">
        <v>1</v>
      </c>
      <c r="BV26" s="2">
        <v>1</v>
      </c>
      <c r="BW26" s="2">
        <v>1</v>
      </c>
      <c r="BX26" s="2">
        <v>1</v>
      </c>
      <c r="BY26" s="2" t="s">
        <v>3</v>
      </c>
      <c r="BZ26" s="2">
        <v>102</v>
      </c>
      <c r="CA26" s="2">
        <v>54</v>
      </c>
      <c r="CB26" s="2" t="s">
        <v>3</v>
      </c>
      <c r="CC26" s="2"/>
      <c r="CD26" s="2"/>
      <c r="CE26" s="2">
        <v>0</v>
      </c>
      <c r="CF26" s="2">
        <v>0</v>
      </c>
      <c r="CG26" s="2">
        <v>0</v>
      </c>
      <c r="CH26" s="2"/>
      <c r="CI26" s="2"/>
      <c r="CJ26" s="2"/>
      <c r="CK26" s="2"/>
      <c r="CL26" s="2"/>
      <c r="CM26" s="2">
        <v>0</v>
      </c>
      <c r="CN26" s="2" t="s">
        <v>3</v>
      </c>
      <c r="CO26" s="2">
        <v>0</v>
      </c>
      <c r="CP26" s="2">
        <f t="shared" si="34"/>
        <v>1680.9</v>
      </c>
      <c r="CQ26" s="2">
        <f t="shared" si="35"/>
        <v>0</v>
      </c>
      <c r="CR26" s="2">
        <f t="shared" si="36"/>
        <v>0</v>
      </c>
      <c r="CS26" s="2">
        <f t="shared" si="37"/>
        <v>0</v>
      </c>
      <c r="CT26" s="2">
        <f t="shared" si="38"/>
        <v>22.4</v>
      </c>
      <c r="CU26" s="2">
        <f t="shared" si="39"/>
        <v>0</v>
      </c>
      <c r="CV26" s="2">
        <f t="shared" si="40"/>
        <v>2.4700000000000002</v>
      </c>
      <c r="CW26" s="2">
        <f t="shared" si="41"/>
        <v>0</v>
      </c>
      <c r="CX26" s="2">
        <f t="shared" si="42"/>
        <v>0</v>
      </c>
      <c r="CY26" s="2">
        <f t="shared" si="43"/>
        <v>1714.5180000000003</v>
      </c>
      <c r="CZ26" s="2">
        <f t="shared" si="44"/>
        <v>907.68600000000004</v>
      </c>
      <c r="DA26" s="2"/>
      <c r="DB26" s="2"/>
      <c r="DC26" s="2" t="s">
        <v>3</v>
      </c>
      <c r="DD26" s="2" t="s">
        <v>3</v>
      </c>
      <c r="DE26" s="2" t="s">
        <v>3</v>
      </c>
      <c r="DF26" s="2" t="s">
        <v>3</v>
      </c>
      <c r="DG26" s="2" t="s">
        <v>3</v>
      </c>
      <c r="DH26" s="2" t="s">
        <v>3</v>
      </c>
      <c r="DI26" s="2" t="s">
        <v>3</v>
      </c>
      <c r="DJ26" s="2" t="s">
        <v>3</v>
      </c>
      <c r="DK26" s="2" t="s">
        <v>3</v>
      </c>
      <c r="DL26" s="2" t="s">
        <v>3</v>
      </c>
      <c r="DM26" s="2" t="s">
        <v>3</v>
      </c>
      <c r="DN26" s="2">
        <v>0</v>
      </c>
      <c r="DO26" s="2">
        <v>0</v>
      </c>
      <c r="DP26" s="2">
        <v>1</v>
      </c>
      <c r="DQ26" s="2">
        <v>1</v>
      </c>
      <c r="DR26" s="2"/>
      <c r="DS26" s="2"/>
      <c r="DT26" s="2"/>
      <c r="DU26" s="2">
        <v>1007</v>
      </c>
      <c r="DV26" s="2" t="s">
        <v>21</v>
      </c>
      <c r="DW26" s="2" t="s">
        <v>21</v>
      </c>
      <c r="DX26" s="2">
        <v>1</v>
      </c>
      <c r="DY26" s="2"/>
      <c r="DZ26" s="2" t="s">
        <v>3</v>
      </c>
      <c r="EA26" s="2" t="s">
        <v>3</v>
      </c>
      <c r="EB26" s="2" t="s">
        <v>3</v>
      </c>
      <c r="EC26" s="2" t="s">
        <v>3</v>
      </c>
      <c r="ED26" s="2"/>
      <c r="EE26" s="2">
        <v>65361239</v>
      </c>
      <c r="EF26" s="2">
        <v>6</v>
      </c>
      <c r="EG26" s="2" t="s">
        <v>23</v>
      </c>
      <c r="EH26" s="2">
        <v>102</v>
      </c>
      <c r="EI26" s="2" t="s">
        <v>24</v>
      </c>
      <c r="EJ26" s="2">
        <v>1</v>
      </c>
      <c r="EK26" s="2">
        <v>68001</v>
      </c>
      <c r="EL26" s="2" t="s">
        <v>24</v>
      </c>
      <c r="EM26" s="2" t="s">
        <v>25</v>
      </c>
      <c r="EN26" s="2"/>
      <c r="EO26" s="2" t="s">
        <v>3</v>
      </c>
      <c r="EP26" s="2"/>
      <c r="EQ26" s="2">
        <v>0</v>
      </c>
      <c r="ER26" s="2">
        <v>22.4</v>
      </c>
      <c r="ES26" s="2">
        <v>0</v>
      </c>
      <c r="ET26" s="2">
        <v>0</v>
      </c>
      <c r="EU26" s="2">
        <v>0</v>
      </c>
      <c r="EV26" s="2">
        <v>22.4</v>
      </c>
      <c r="EW26" s="2">
        <v>2.4700000000000002</v>
      </c>
      <c r="EX26" s="2">
        <v>0</v>
      </c>
      <c r="EY26" s="2">
        <v>0</v>
      </c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>
        <v>0</v>
      </c>
      <c r="FR26" s="2">
        <f t="shared" si="45"/>
        <v>0</v>
      </c>
      <c r="FS26" s="2">
        <v>0</v>
      </c>
      <c r="FT26" s="2"/>
      <c r="FU26" s="2"/>
      <c r="FV26" s="2"/>
      <c r="FW26" s="2"/>
      <c r="FX26" s="2">
        <v>102</v>
      </c>
      <c r="FY26" s="2">
        <v>54</v>
      </c>
      <c r="FZ26" s="2"/>
      <c r="GA26" s="2" t="s">
        <v>3</v>
      </c>
      <c r="GB26" s="2"/>
      <c r="GC26" s="2"/>
      <c r="GD26" s="2">
        <v>1</v>
      </c>
      <c r="GE26" s="2"/>
      <c r="GF26" s="2">
        <v>-368358349</v>
      </c>
      <c r="GG26" s="2">
        <v>2</v>
      </c>
      <c r="GH26" s="2">
        <v>1</v>
      </c>
      <c r="GI26" s="2">
        <v>-2</v>
      </c>
      <c r="GJ26" s="2">
        <v>0</v>
      </c>
      <c r="GK26" s="2">
        <v>0</v>
      </c>
      <c r="GL26" s="2">
        <f t="shared" si="46"/>
        <v>0</v>
      </c>
      <c r="GM26" s="2">
        <f t="shared" si="47"/>
        <v>4303.1099999999997</v>
      </c>
      <c r="GN26" s="2">
        <f t="shared" si="48"/>
        <v>4303.1099999999997</v>
      </c>
      <c r="GO26" s="2">
        <f t="shared" si="49"/>
        <v>0</v>
      </c>
      <c r="GP26" s="2">
        <f t="shared" si="50"/>
        <v>0</v>
      </c>
      <c r="GQ26" s="2"/>
      <c r="GR26" s="2">
        <v>0</v>
      </c>
      <c r="GS26" s="2">
        <v>3</v>
      </c>
      <c r="GT26" s="2">
        <v>0</v>
      </c>
      <c r="GU26" s="2" t="s">
        <v>3</v>
      </c>
      <c r="GV26" s="2">
        <f t="shared" si="51"/>
        <v>0</v>
      </c>
      <c r="GW26" s="2">
        <v>1</v>
      </c>
      <c r="GX26" s="2">
        <f t="shared" si="52"/>
        <v>0</v>
      </c>
      <c r="GY26" s="2"/>
      <c r="GZ26" s="2"/>
      <c r="HA26" s="2">
        <v>0</v>
      </c>
      <c r="HB26" s="2">
        <v>0</v>
      </c>
      <c r="HC26" s="2">
        <f t="shared" si="53"/>
        <v>0</v>
      </c>
      <c r="HD26" s="2"/>
      <c r="HE26" s="2" t="s">
        <v>3</v>
      </c>
      <c r="HF26" s="2" t="s">
        <v>3</v>
      </c>
      <c r="HG26" s="2"/>
      <c r="HH26" s="2"/>
      <c r="HI26" s="2">
        <f t="shared" si="54"/>
        <v>0</v>
      </c>
      <c r="HJ26" s="2">
        <f t="shared" si="55"/>
        <v>1680.9</v>
      </c>
      <c r="HK26" s="2">
        <f t="shared" si="56"/>
        <v>1714.52</v>
      </c>
      <c r="HL26" s="2">
        <f t="shared" si="57"/>
        <v>907.69</v>
      </c>
      <c r="HM26" s="2" t="s">
        <v>3</v>
      </c>
      <c r="HN26" s="2" t="s">
        <v>26</v>
      </c>
      <c r="HO26" s="2" t="s">
        <v>27</v>
      </c>
      <c r="HP26" s="2" t="s">
        <v>24</v>
      </c>
      <c r="HQ26" s="2" t="s">
        <v>24</v>
      </c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>
        <v>0</v>
      </c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>
      <c r="A27">
        <v>17</v>
      </c>
      <c r="B27">
        <v>1</v>
      </c>
      <c r="C27">
        <f>ROW(SmtRes!A4)</f>
        <v>4</v>
      </c>
      <c r="D27">
        <f>ROW(EtalonRes!A4)</f>
        <v>4</v>
      </c>
      <c r="E27" t="s">
        <v>28</v>
      </c>
      <c r="F27" t="s">
        <v>29</v>
      </c>
      <c r="G27" t="s">
        <v>30</v>
      </c>
      <c r="H27" t="s">
        <v>21</v>
      </c>
      <c r="I27">
        <f>ROUND(ROUND(((4.69*16)),4),7)</f>
        <v>75.040000000000006</v>
      </c>
      <c r="J27">
        <v>0</v>
      </c>
      <c r="K27">
        <f>ROUND(ROUND(((4.69*16)),4),7)</f>
        <v>75.040000000000006</v>
      </c>
      <c r="O27">
        <f t="shared" si="14"/>
        <v>1680.9</v>
      </c>
      <c r="P27">
        <f t="shared" si="15"/>
        <v>0</v>
      </c>
      <c r="Q27">
        <f t="shared" si="16"/>
        <v>0</v>
      </c>
      <c r="R27">
        <f t="shared" si="17"/>
        <v>0</v>
      </c>
      <c r="S27">
        <f t="shared" si="18"/>
        <v>1680.9</v>
      </c>
      <c r="T27">
        <f t="shared" si="19"/>
        <v>0</v>
      </c>
      <c r="U27">
        <f t="shared" si="20"/>
        <v>185.34880000000004</v>
      </c>
      <c r="V27">
        <f t="shared" si="21"/>
        <v>0</v>
      </c>
      <c r="W27">
        <f t="shared" si="22"/>
        <v>0</v>
      </c>
      <c r="X27">
        <f t="shared" si="23"/>
        <v>1714.52</v>
      </c>
      <c r="Y27">
        <f t="shared" si="24"/>
        <v>907.69</v>
      </c>
      <c r="AA27">
        <v>73147422</v>
      </c>
      <c r="AB27">
        <f t="shared" si="25"/>
        <v>22.4</v>
      </c>
      <c r="AC27">
        <f t="shared" si="26"/>
        <v>0</v>
      </c>
      <c r="AD27">
        <f t="shared" si="27"/>
        <v>0</v>
      </c>
      <c r="AE27">
        <f t="shared" si="28"/>
        <v>0</v>
      </c>
      <c r="AF27">
        <f t="shared" si="29"/>
        <v>22.4</v>
      </c>
      <c r="AG27">
        <f t="shared" si="30"/>
        <v>0</v>
      </c>
      <c r="AH27">
        <f t="shared" si="31"/>
        <v>2.4700000000000002</v>
      </c>
      <c r="AI27">
        <f t="shared" si="32"/>
        <v>0</v>
      </c>
      <c r="AJ27">
        <f t="shared" si="33"/>
        <v>0</v>
      </c>
      <c r="AK27">
        <v>22.4</v>
      </c>
      <c r="AL27">
        <v>0</v>
      </c>
      <c r="AM27">
        <v>0</v>
      </c>
      <c r="AN27">
        <v>0</v>
      </c>
      <c r="AO27">
        <v>22.4</v>
      </c>
      <c r="AP27">
        <v>0</v>
      </c>
      <c r="AQ27">
        <v>2.4700000000000002</v>
      </c>
      <c r="AR27">
        <v>0</v>
      </c>
      <c r="AS27">
        <v>0</v>
      </c>
      <c r="AT27">
        <v>102</v>
      </c>
      <c r="AU27">
        <v>54</v>
      </c>
      <c r="AV27">
        <v>1</v>
      </c>
      <c r="AW27">
        <v>1</v>
      </c>
      <c r="AZ27">
        <v>1</v>
      </c>
      <c r="BA27">
        <v>24.24</v>
      </c>
      <c r="BB27">
        <v>1</v>
      </c>
      <c r="BC27">
        <v>1</v>
      </c>
      <c r="BD27" t="s">
        <v>3</v>
      </c>
      <c r="BE27" t="s">
        <v>3</v>
      </c>
      <c r="BF27" t="s">
        <v>3</v>
      </c>
      <c r="BG27" t="s">
        <v>3</v>
      </c>
      <c r="BH27">
        <v>0</v>
      </c>
      <c r="BI27">
        <v>1</v>
      </c>
      <c r="BJ27" t="s">
        <v>31</v>
      </c>
      <c r="BM27">
        <v>68001</v>
      </c>
      <c r="BN27">
        <v>0</v>
      </c>
      <c r="BO27" t="s">
        <v>3</v>
      </c>
      <c r="BP27">
        <v>0</v>
      </c>
      <c r="BQ27">
        <v>6</v>
      </c>
      <c r="BR27">
        <v>0</v>
      </c>
      <c r="BS27">
        <v>24.24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102</v>
      </c>
      <c r="CA27">
        <v>54</v>
      </c>
      <c r="CB27" t="s">
        <v>3</v>
      </c>
      <c r="CE27">
        <v>0</v>
      </c>
      <c r="CF27">
        <v>0</v>
      </c>
      <c r="CG27">
        <v>0</v>
      </c>
      <c r="CM27">
        <v>0</v>
      </c>
      <c r="CN27" t="s">
        <v>3</v>
      </c>
      <c r="CO27">
        <v>0</v>
      </c>
      <c r="CP27">
        <f t="shared" si="34"/>
        <v>1680.9</v>
      </c>
      <c r="CQ27">
        <f t="shared" si="35"/>
        <v>0</v>
      </c>
      <c r="CR27">
        <f t="shared" si="36"/>
        <v>0</v>
      </c>
      <c r="CS27">
        <f t="shared" si="37"/>
        <v>0</v>
      </c>
      <c r="CT27">
        <f t="shared" si="38"/>
        <v>22.4</v>
      </c>
      <c r="CU27">
        <f t="shared" si="39"/>
        <v>0</v>
      </c>
      <c r="CV27">
        <f t="shared" si="40"/>
        <v>2.4700000000000002</v>
      </c>
      <c r="CW27">
        <f t="shared" si="41"/>
        <v>0</v>
      </c>
      <c r="CX27">
        <f t="shared" si="42"/>
        <v>0</v>
      </c>
      <c r="CY27">
        <f t="shared" si="43"/>
        <v>1714.5180000000003</v>
      </c>
      <c r="CZ27">
        <f t="shared" si="44"/>
        <v>907.68600000000004</v>
      </c>
      <c r="DC27" t="s">
        <v>3</v>
      </c>
      <c r="DD27" t="s">
        <v>3</v>
      </c>
      <c r="DE27" t="s">
        <v>3</v>
      </c>
      <c r="DF27" t="s">
        <v>3</v>
      </c>
      <c r="DG27" t="s">
        <v>3</v>
      </c>
      <c r="DH27" t="s">
        <v>3</v>
      </c>
      <c r="DI27" t="s">
        <v>3</v>
      </c>
      <c r="DJ27" t="s">
        <v>3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U27">
        <v>1007</v>
      </c>
      <c r="DV27" t="s">
        <v>21</v>
      </c>
      <c r="DW27" t="s">
        <v>21</v>
      </c>
      <c r="DX27">
        <v>1</v>
      </c>
      <c r="DZ27" t="s">
        <v>3</v>
      </c>
      <c r="EA27" t="s">
        <v>3</v>
      </c>
      <c r="EB27" t="s">
        <v>3</v>
      </c>
      <c r="EC27" t="s">
        <v>3</v>
      </c>
      <c r="EE27">
        <v>65361239</v>
      </c>
      <c r="EF27">
        <v>6</v>
      </c>
      <c r="EG27" t="s">
        <v>23</v>
      </c>
      <c r="EH27">
        <v>102</v>
      </c>
      <c r="EI27" t="s">
        <v>24</v>
      </c>
      <c r="EJ27">
        <v>1</v>
      </c>
      <c r="EK27">
        <v>68001</v>
      </c>
      <c r="EL27" t="s">
        <v>24</v>
      </c>
      <c r="EM27" t="s">
        <v>25</v>
      </c>
      <c r="EO27" t="s">
        <v>3</v>
      </c>
      <c r="EQ27">
        <v>0</v>
      </c>
      <c r="ER27">
        <v>22.4</v>
      </c>
      <c r="ES27">
        <v>0</v>
      </c>
      <c r="ET27">
        <v>0</v>
      </c>
      <c r="EU27">
        <v>0</v>
      </c>
      <c r="EV27">
        <v>22.4</v>
      </c>
      <c r="EW27">
        <v>2.4700000000000002</v>
      </c>
      <c r="EX27">
        <v>0</v>
      </c>
      <c r="EY27">
        <v>0</v>
      </c>
      <c r="FQ27">
        <v>0</v>
      </c>
      <c r="FR27">
        <f t="shared" si="45"/>
        <v>0</v>
      </c>
      <c r="FS27">
        <v>0</v>
      </c>
      <c r="FX27">
        <v>102</v>
      </c>
      <c r="FY27">
        <v>54</v>
      </c>
      <c r="GA27" t="s">
        <v>3</v>
      </c>
      <c r="GD27">
        <v>1</v>
      </c>
      <c r="GF27">
        <v>-368358349</v>
      </c>
      <c r="GG27">
        <v>2</v>
      </c>
      <c r="GH27">
        <v>1</v>
      </c>
      <c r="GI27">
        <v>4</v>
      </c>
      <c r="GJ27">
        <v>0</v>
      </c>
      <c r="GK27">
        <v>0</v>
      </c>
      <c r="GL27">
        <f t="shared" si="46"/>
        <v>0</v>
      </c>
      <c r="GM27">
        <f t="shared" si="47"/>
        <v>4303.1099999999997</v>
      </c>
      <c r="GN27">
        <f t="shared" si="48"/>
        <v>4303.1099999999997</v>
      </c>
      <c r="GO27">
        <f t="shared" si="49"/>
        <v>0</v>
      </c>
      <c r="GP27">
        <f t="shared" si="50"/>
        <v>0</v>
      </c>
      <c r="GR27">
        <v>0</v>
      </c>
      <c r="GS27">
        <v>3</v>
      </c>
      <c r="GT27">
        <v>0</v>
      </c>
      <c r="GU27" t="s">
        <v>3</v>
      </c>
      <c r="GV27">
        <f t="shared" si="51"/>
        <v>0</v>
      </c>
      <c r="GW27">
        <v>1</v>
      </c>
      <c r="GX27">
        <f t="shared" si="52"/>
        <v>0</v>
      </c>
      <c r="HA27">
        <v>0</v>
      </c>
      <c r="HB27">
        <v>0</v>
      </c>
      <c r="HC27">
        <f t="shared" si="53"/>
        <v>0</v>
      </c>
      <c r="HE27" t="s">
        <v>3</v>
      </c>
      <c r="HF27" t="s">
        <v>3</v>
      </c>
      <c r="HI27">
        <f t="shared" si="54"/>
        <v>0</v>
      </c>
      <c r="HJ27">
        <f t="shared" si="55"/>
        <v>40745.019999999997</v>
      </c>
      <c r="HK27">
        <f t="shared" si="56"/>
        <v>41559.919999999998</v>
      </c>
      <c r="HL27">
        <f t="shared" si="57"/>
        <v>22002.31</v>
      </c>
      <c r="HM27" t="s">
        <v>3</v>
      </c>
      <c r="HN27" t="s">
        <v>26</v>
      </c>
      <c r="HO27" t="s">
        <v>27</v>
      </c>
      <c r="HP27" t="s">
        <v>24</v>
      </c>
      <c r="HQ27" t="s">
        <v>24</v>
      </c>
      <c r="IK27">
        <v>0</v>
      </c>
    </row>
    <row r="28" spans="1:255">
      <c r="A28" s="2">
        <v>17</v>
      </c>
      <c r="B28" s="2">
        <v>1</v>
      </c>
      <c r="C28" s="2">
        <f>ROW(SmtRes!A5)</f>
        <v>5</v>
      </c>
      <c r="D28" s="2">
        <f>ROW(EtalonRes!A5)</f>
        <v>5</v>
      </c>
      <c r="E28" s="2" t="s">
        <v>32</v>
      </c>
      <c r="F28" s="2" t="s">
        <v>33</v>
      </c>
      <c r="G28" s="2" t="s">
        <v>34</v>
      </c>
      <c r="H28" s="2" t="s">
        <v>21</v>
      </c>
      <c r="I28" s="2">
        <f>ROUND(ROUND((9.93*8+4.69*2+17.47),4),7)</f>
        <v>106.29</v>
      </c>
      <c r="J28" s="2">
        <v>0</v>
      </c>
      <c r="K28" s="2">
        <f>ROUND(ROUND((9.93*8+4.69*2+17.47),4),7)</f>
        <v>106.29</v>
      </c>
      <c r="L28" s="2"/>
      <c r="M28" s="2"/>
      <c r="N28" s="2"/>
      <c r="O28" s="2">
        <f t="shared" si="14"/>
        <v>2082.2199999999998</v>
      </c>
      <c r="P28" s="2">
        <f t="shared" si="15"/>
        <v>0</v>
      </c>
      <c r="Q28" s="2">
        <f t="shared" si="16"/>
        <v>0</v>
      </c>
      <c r="R28" s="2">
        <f t="shared" si="17"/>
        <v>0</v>
      </c>
      <c r="S28" s="2">
        <f t="shared" si="18"/>
        <v>2082.2199999999998</v>
      </c>
      <c r="T28" s="2">
        <f t="shared" si="19"/>
        <v>0</v>
      </c>
      <c r="U28" s="2">
        <f t="shared" si="20"/>
        <v>229.58640000000003</v>
      </c>
      <c r="V28" s="2">
        <f t="shared" si="21"/>
        <v>0</v>
      </c>
      <c r="W28" s="2">
        <f t="shared" si="22"/>
        <v>0</v>
      </c>
      <c r="X28" s="2">
        <f t="shared" si="23"/>
        <v>2123.86</v>
      </c>
      <c r="Y28" s="2">
        <f t="shared" si="24"/>
        <v>1124.4000000000001</v>
      </c>
      <c r="Z28" s="2"/>
      <c r="AA28" s="2">
        <v>73147424</v>
      </c>
      <c r="AB28" s="2">
        <f t="shared" si="25"/>
        <v>19.59</v>
      </c>
      <c r="AC28" s="2">
        <f t="shared" si="26"/>
        <v>0</v>
      </c>
      <c r="AD28" s="2">
        <f t="shared" si="27"/>
        <v>0</v>
      </c>
      <c r="AE28" s="2">
        <f t="shared" si="28"/>
        <v>0</v>
      </c>
      <c r="AF28" s="2">
        <f t="shared" si="29"/>
        <v>19.59</v>
      </c>
      <c r="AG28" s="2">
        <f t="shared" si="30"/>
        <v>0</v>
      </c>
      <c r="AH28" s="2">
        <f t="shared" si="31"/>
        <v>2.16</v>
      </c>
      <c r="AI28" s="2">
        <f t="shared" si="32"/>
        <v>0</v>
      </c>
      <c r="AJ28" s="2">
        <f t="shared" si="33"/>
        <v>0</v>
      </c>
      <c r="AK28" s="2">
        <v>19.59</v>
      </c>
      <c r="AL28" s="2">
        <v>0</v>
      </c>
      <c r="AM28" s="2">
        <v>0</v>
      </c>
      <c r="AN28" s="2">
        <v>0</v>
      </c>
      <c r="AO28" s="2">
        <v>19.59</v>
      </c>
      <c r="AP28" s="2">
        <v>0</v>
      </c>
      <c r="AQ28" s="2">
        <v>2.16</v>
      </c>
      <c r="AR28" s="2">
        <v>0</v>
      </c>
      <c r="AS28" s="2">
        <v>0</v>
      </c>
      <c r="AT28" s="2">
        <v>102</v>
      </c>
      <c r="AU28" s="2">
        <v>54</v>
      </c>
      <c r="AV28" s="2">
        <v>1</v>
      </c>
      <c r="AW28" s="2">
        <v>1</v>
      </c>
      <c r="AX28" s="2"/>
      <c r="AY28" s="2"/>
      <c r="AZ28" s="2">
        <v>1</v>
      </c>
      <c r="BA28" s="2">
        <v>1</v>
      </c>
      <c r="BB28" s="2">
        <v>1</v>
      </c>
      <c r="BC28" s="2">
        <v>1</v>
      </c>
      <c r="BD28" s="2" t="s">
        <v>3</v>
      </c>
      <c r="BE28" s="2" t="s">
        <v>3</v>
      </c>
      <c r="BF28" s="2" t="s">
        <v>3</v>
      </c>
      <c r="BG28" s="2" t="s">
        <v>3</v>
      </c>
      <c r="BH28" s="2">
        <v>0</v>
      </c>
      <c r="BI28" s="2">
        <v>1</v>
      </c>
      <c r="BJ28" s="2" t="s">
        <v>35</v>
      </c>
      <c r="BK28" s="2"/>
      <c r="BL28" s="2"/>
      <c r="BM28" s="2">
        <v>68001</v>
      </c>
      <c r="BN28" s="2">
        <v>0</v>
      </c>
      <c r="BO28" s="2" t="s">
        <v>3</v>
      </c>
      <c r="BP28" s="2">
        <v>0</v>
      </c>
      <c r="BQ28" s="2">
        <v>6</v>
      </c>
      <c r="BR28" s="2">
        <v>0</v>
      </c>
      <c r="BS28" s="2">
        <v>1</v>
      </c>
      <c r="BT28" s="2">
        <v>1</v>
      </c>
      <c r="BU28" s="2">
        <v>1</v>
      </c>
      <c r="BV28" s="2">
        <v>1</v>
      </c>
      <c r="BW28" s="2">
        <v>1</v>
      </c>
      <c r="BX28" s="2">
        <v>1</v>
      </c>
      <c r="BY28" s="2" t="s">
        <v>3</v>
      </c>
      <c r="BZ28" s="2">
        <v>102</v>
      </c>
      <c r="CA28" s="2">
        <v>54</v>
      </c>
      <c r="CB28" s="2" t="s">
        <v>3</v>
      </c>
      <c r="CC28" s="2"/>
      <c r="CD28" s="2"/>
      <c r="CE28" s="2">
        <v>0</v>
      </c>
      <c r="CF28" s="2">
        <v>0</v>
      </c>
      <c r="CG28" s="2">
        <v>0</v>
      </c>
      <c r="CH28" s="2"/>
      <c r="CI28" s="2"/>
      <c r="CJ28" s="2"/>
      <c r="CK28" s="2"/>
      <c r="CL28" s="2"/>
      <c r="CM28" s="2">
        <v>0</v>
      </c>
      <c r="CN28" s="2" t="s">
        <v>3</v>
      </c>
      <c r="CO28" s="2">
        <v>0</v>
      </c>
      <c r="CP28" s="2">
        <f t="shared" si="34"/>
        <v>2082.2199999999998</v>
      </c>
      <c r="CQ28" s="2">
        <f t="shared" si="35"/>
        <v>0</v>
      </c>
      <c r="CR28" s="2">
        <f t="shared" si="36"/>
        <v>0</v>
      </c>
      <c r="CS28" s="2">
        <f t="shared" si="37"/>
        <v>0</v>
      </c>
      <c r="CT28" s="2">
        <f t="shared" si="38"/>
        <v>19.59</v>
      </c>
      <c r="CU28" s="2">
        <f t="shared" si="39"/>
        <v>0</v>
      </c>
      <c r="CV28" s="2">
        <f t="shared" si="40"/>
        <v>2.16</v>
      </c>
      <c r="CW28" s="2">
        <f t="shared" si="41"/>
        <v>0</v>
      </c>
      <c r="CX28" s="2">
        <f t="shared" si="42"/>
        <v>0</v>
      </c>
      <c r="CY28" s="2">
        <f t="shared" si="43"/>
        <v>2123.8643999999999</v>
      </c>
      <c r="CZ28" s="2">
        <f t="shared" si="44"/>
        <v>1124.3987999999999</v>
      </c>
      <c r="DA28" s="2"/>
      <c r="DB28" s="2"/>
      <c r="DC28" s="2" t="s">
        <v>3</v>
      </c>
      <c r="DD28" s="2" t="s">
        <v>3</v>
      </c>
      <c r="DE28" s="2" t="s">
        <v>3</v>
      </c>
      <c r="DF28" s="2" t="s">
        <v>3</v>
      </c>
      <c r="DG28" s="2" t="s">
        <v>3</v>
      </c>
      <c r="DH28" s="2" t="s">
        <v>3</v>
      </c>
      <c r="DI28" s="2" t="s">
        <v>3</v>
      </c>
      <c r="DJ28" s="2" t="s">
        <v>3</v>
      </c>
      <c r="DK28" s="2" t="s">
        <v>3</v>
      </c>
      <c r="DL28" s="2" t="s">
        <v>3</v>
      </c>
      <c r="DM28" s="2" t="s">
        <v>3</v>
      </c>
      <c r="DN28" s="2">
        <v>0</v>
      </c>
      <c r="DO28" s="2">
        <v>0</v>
      </c>
      <c r="DP28" s="2">
        <v>1</v>
      </c>
      <c r="DQ28" s="2">
        <v>1</v>
      </c>
      <c r="DR28" s="2"/>
      <c r="DS28" s="2"/>
      <c r="DT28" s="2"/>
      <c r="DU28" s="2">
        <v>1007</v>
      </c>
      <c r="DV28" s="2" t="s">
        <v>21</v>
      </c>
      <c r="DW28" s="2" t="s">
        <v>21</v>
      </c>
      <c r="DX28" s="2">
        <v>1</v>
      </c>
      <c r="DY28" s="2"/>
      <c r="DZ28" s="2" t="s">
        <v>3</v>
      </c>
      <c r="EA28" s="2" t="s">
        <v>3</v>
      </c>
      <c r="EB28" s="2" t="s">
        <v>3</v>
      </c>
      <c r="EC28" s="2" t="s">
        <v>3</v>
      </c>
      <c r="ED28" s="2"/>
      <c r="EE28" s="2">
        <v>65361239</v>
      </c>
      <c r="EF28" s="2">
        <v>6</v>
      </c>
      <c r="EG28" s="2" t="s">
        <v>23</v>
      </c>
      <c r="EH28" s="2">
        <v>102</v>
      </c>
      <c r="EI28" s="2" t="s">
        <v>24</v>
      </c>
      <c r="EJ28" s="2">
        <v>1</v>
      </c>
      <c r="EK28" s="2">
        <v>68001</v>
      </c>
      <c r="EL28" s="2" t="s">
        <v>24</v>
      </c>
      <c r="EM28" s="2" t="s">
        <v>25</v>
      </c>
      <c r="EN28" s="2"/>
      <c r="EO28" s="2" t="s">
        <v>3</v>
      </c>
      <c r="EP28" s="2"/>
      <c r="EQ28" s="2">
        <v>0</v>
      </c>
      <c r="ER28" s="2">
        <v>19.59</v>
      </c>
      <c r="ES28" s="2">
        <v>0</v>
      </c>
      <c r="ET28" s="2">
        <v>0</v>
      </c>
      <c r="EU28" s="2">
        <v>0</v>
      </c>
      <c r="EV28" s="2">
        <v>19.59</v>
      </c>
      <c r="EW28" s="2">
        <v>2.16</v>
      </c>
      <c r="EX28" s="2">
        <v>0</v>
      </c>
      <c r="EY28" s="2">
        <v>0</v>
      </c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>
        <v>0</v>
      </c>
      <c r="FR28" s="2">
        <f t="shared" si="45"/>
        <v>0</v>
      </c>
      <c r="FS28" s="2">
        <v>0</v>
      </c>
      <c r="FT28" s="2"/>
      <c r="FU28" s="2"/>
      <c r="FV28" s="2"/>
      <c r="FW28" s="2"/>
      <c r="FX28" s="2">
        <v>102</v>
      </c>
      <c r="FY28" s="2">
        <v>54</v>
      </c>
      <c r="FZ28" s="2"/>
      <c r="GA28" s="2" t="s">
        <v>3</v>
      </c>
      <c r="GB28" s="2"/>
      <c r="GC28" s="2"/>
      <c r="GD28" s="2">
        <v>1</v>
      </c>
      <c r="GE28" s="2"/>
      <c r="GF28" s="2">
        <v>625911824</v>
      </c>
      <c r="GG28" s="2">
        <v>2</v>
      </c>
      <c r="GH28" s="2">
        <v>1</v>
      </c>
      <c r="GI28" s="2">
        <v>-2</v>
      </c>
      <c r="GJ28" s="2">
        <v>0</v>
      </c>
      <c r="GK28" s="2">
        <v>0</v>
      </c>
      <c r="GL28" s="2">
        <f t="shared" si="46"/>
        <v>0</v>
      </c>
      <c r="GM28" s="2">
        <f t="shared" si="47"/>
        <v>5330.48</v>
      </c>
      <c r="GN28" s="2">
        <f t="shared" si="48"/>
        <v>5330.48</v>
      </c>
      <c r="GO28" s="2">
        <f t="shared" si="49"/>
        <v>0</v>
      </c>
      <c r="GP28" s="2">
        <f t="shared" si="50"/>
        <v>0</v>
      </c>
      <c r="GQ28" s="2"/>
      <c r="GR28" s="2">
        <v>0</v>
      </c>
      <c r="GS28" s="2">
        <v>3</v>
      </c>
      <c r="GT28" s="2">
        <v>0</v>
      </c>
      <c r="GU28" s="2" t="s">
        <v>3</v>
      </c>
      <c r="GV28" s="2">
        <f t="shared" si="51"/>
        <v>0</v>
      </c>
      <c r="GW28" s="2">
        <v>1</v>
      </c>
      <c r="GX28" s="2">
        <f t="shared" si="52"/>
        <v>0</v>
      </c>
      <c r="GY28" s="2"/>
      <c r="GZ28" s="2"/>
      <c r="HA28" s="2">
        <v>0</v>
      </c>
      <c r="HB28" s="2">
        <v>0</v>
      </c>
      <c r="HC28" s="2">
        <f t="shared" si="53"/>
        <v>0</v>
      </c>
      <c r="HD28" s="2"/>
      <c r="HE28" s="2" t="s">
        <v>3</v>
      </c>
      <c r="HF28" s="2" t="s">
        <v>3</v>
      </c>
      <c r="HG28" s="2"/>
      <c r="HH28" s="2"/>
      <c r="HI28" s="2">
        <f t="shared" si="54"/>
        <v>0</v>
      </c>
      <c r="HJ28" s="2">
        <f t="shared" si="55"/>
        <v>2082.2199999999998</v>
      </c>
      <c r="HK28" s="2">
        <f t="shared" si="56"/>
        <v>2123.86</v>
      </c>
      <c r="HL28" s="2">
        <f t="shared" si="57"/>
        <v>1124.4000000000001</v>
      </c>
      <c r="HM28" s="2" t="s">
        <v>3</v>
      </c>
      <c r="HN28" s="2" t="s">
        <v>26</v>
      </c>
      <c r="HO28" s="2" t="s">
        <v>27</v>
      </c>
      <c r="HP28" s="2" t="s">
        <v>24</v>
      </c>
      <c r="HQ28" s="2" t="s">
        <v>24</v>
      </c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>
        <v>0</v>
      </c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>
      <c r="A29">
        <v>17</v>
      </c>
      <c r="B29">
        <v>1</v>
      </c>
      <c r="C29">
        <f>ROW(SmtRes!A6)</f>
        <v>6</v>
      </c>
      <c r="D29">
        <f>ROW(EtalonRes!A6)</f>
        <v>6</v>
      </c>
      <c r="E29" t="s">
        <v>32</v>
      </c>
      <c r="F29" t="s">
        <v>33</v>
      </c>
      <c r="G29" t="s">
        <v>34</v>
      </c>
      <c r="H29" t="s">
        <v>21</v>
      </c>
      <c r="I29">
        <f>ROUND(ROUND((9.93*8+4.69*2+17.47),4),7)</f>
        <v>106.29</v>
      </c>
      <c r="J29">
        <v>0</v>
      </c>
      <c r="K29">
        <f>ROUND(ROUND((9.93*8+4.69*2+17.47),4),7)</f>
        <v>106.29</v>
      </c>
      <c r="O29">
        <f t="shared" si="14"/>
        <v>2082.2199999999998</v>
      </c>
      <c r="P29">
        <f t="shared" si="15"/>
        <v>0</v>
      </c>
      <c r="Q29">
        <f t="shared" si="16"/>
        <v>0</v>
      </c>
      <c r="R29">
        <f t="shared" si="17"/>
        <v>0</v>
      </c>
      <c r="S29">
        <f t="shared" si="18"/>
        <v>2082.2199999999998</v>
      </c>
      <c r="T29">
        <f t="shared" si="19"/>
        <v>0</v>
      </c>
      <c r="U29">
        <f t="shared" si="20"/>
        <v>229.58640000000003</v>
      </c>
      <c r="V29">
        <f t="shared" si="21"/>
        <v>0</v>
      </c>
      <c r="W29">
        <f t="shared" si="22"/>
        <v>0</v>
      </c>
      <c r="X29">
        <f t="shared" si="23"/>
        <v>2123.86</v>
      </c>
      <c r="Y29">
        <f t="shared" si="24"/>
        <v>1124.4000000000001</v>
      </c>
      <c r="AA29">
        <v>73147422</v>
      </c>
      <c r="AB29">
        <f t="shared" si="25"/>
        <v>19.59</v>
      </c>
      <c r="AC29">
        <f t="shared" si="26"/>
        <v>0</v>
      </c>
      <c r="AD29">
        <f t="shared" si="27"/>
        <v>0</v>
      </c>
      <c r="AE29">
        <f t="shared" si="28"/>
        <v>0</v>
      </c>
      <c r="AF29">
        <f t="shared" si="29"/>
        <v>19.59</v>
      </c>
      <c r="AG29">
        <f t="shared" si="30"/>
        <v>0</v>
      </c>
      <c r="AH29">
        <f t="shared" si="31"/>
        <v>2.16</v>
      </c>
      <c r="AI29">
        <f t="shared" si="32"/>
        <v>0</v>
      </c>
      <c r="AJ29">
        <f t="shared" si="33"/>
        <v>0</v>
      </c>
      <c r="AK29">
        <v>19.59</v>
      </c>
      <c r="AL29">
        <v>0</v>
      </c>
      <c r="AM29">
        <v>0</v>
      </c>
      <c r="AN29">
        <v>0</v>
      </c>
      <c r="AO29">
        <v>19.59</v>
      </c>
      <c r="AP29">
        <v>0</v>
      </c>
      <c r="AQ29">
        <v>2.16</v>
      </c>
      <c r="AR29">
        <v>0</v>
      </c>
      <c r="AS29">
        <v>0</v>
      </c>
      <c r="AT29">
        <v>102</v>
      </c>
      <c r="AU29">
        <v>54</v>
      </c>
      <c r="AV29">
        <v>1</v>
      </c>
      <c r="AW29">
        <v>1</v>
      </c>
      <c r="AZ29">
        <v>1</v>
      </c>
      <c r="BA29">
        <v>24.24</v>
      </c>
      <c r="BB29">
        <v>1</v>
      </c>
      <c r="BC29">
        <v>1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1</v>
      </c>
      <c r="BJ29" t="s">
        <v>35</v>
      </c>
      <c r="BM29">
        <v>68001</v>
      </c>
      <c r="BN29">
        <v>0</v>
      </c>
      <c r="BO29" t="s">
        <v>3</v>
      </c>
      <c r="BP29">
        <v>0</v>
      </c>
      <c r="BQ29">
        <v>6</v>
      </c>
      <c r="BR29">
        <v>0</v>
      </c>
      <c r="BS29">
        <v>24.24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102</v>
      </c>
      <c r="CA29">
        <v>54</v>
      </c>
      <c r="CB29" t="s">
        <v>3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4"/>
        <v>2082.2199999999998</v>
      </c>
      <c r="CQ29">
        <f t="shared" si="35"/>
        <v>0</v>
      </c>
      <c r="CR29">
        <f t="shared" si="36"/>
        <v>0</v>
      </c>
      <c r="CS29">
        <f t="shared" si="37"/>
        <v>0</v>
      </c>
      <c r="CT29">
        <f t="shared" si="38"/>
        <v>19.59</v>
      </c>
      <c r="CU29">
        <f t="shared" si="39"/>
        <v>0</v>
      </c>
      <c r="CV29">
        <f t="shared" si="40"/>
        <v>2.16</v>
      </c>
      <c r="CW29">
        <f t="shared" si="41"/>
        <v>0</v>
      </c>
      <c r="CX29">
        <f t="shared" si="42"/>
        <v>0</v>
      </c>
      <c r="CY29">
        <f t="shared" si="43"/>
        <v>2123.8643999999999</v>
      </c>
      <c r="CZ29">
        <f t="shared" si="44"/>
        <v>1124.3987999999999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1007</v>
      </c>
      <c r="DV29" t="s">
        <v>21</v>
      </c>
      <c r="DW29" t="s">
        <v>21</v>
      </c>
      <c r="DX29">
        <v>1</v>
      </c>
      <c r="DZ29" t="s">
        <v>3</v>
      </c>
      <c r="EA29" t="s">
        <v>3</v>
      </c>
      <c r="EB29" t="s">
        <v>3</v>
      </c>
      <c r="EC29" t="s">
        <v>3</v>
      </c>
      <c r="EE29">
        <v>65361239</v>
      </c>
      <c r="EF29">
        <v>6</v>
      </c>
      <c r="EG29" t="s">
        <v>23</v>
      </c>
      <c r="EH29">
        <v>102</v>
      </c>
      <c r="EI29" t="s">
        <v>24</v>
      </c>
      <c r="EJ29">
        <v>1</v>
      </c>
      <c r="EK29">
        <v>68001</v>
      </c>
      <c r="EL29" t="s">
        <v>24</v>
      </c>
      <c r="EM29" t="s">
        <v>25</v>
      </c>
      <c r="EO29" t="s">
        <v>3</v>
      </c>
      <c r="EQ29">
        <v>0</v>
      </c>
      <c r="ER29">
        <v>19.59</v>
      </c>
      <c r="ES29">
        <v>0</v>
      </c>
      <c r="ET29">
        <v>0</v>
      </c>
      <c r="EU29">
        <v>0</v>
      </c>
      <c r="EV29">
        <v>19.59</v>
      </c>
      <c r="EW29">
        <v>2.16</v>
      </c>
      <c r="EX29">
        <v>0</v>
      </c>
      <c r="EY29">
        <v>0</v>
      </c>
      <c r="FQ29">
        <v>0</v>
      </c>
      <c r="FR29">
        <f t="shared" si="45"/>
        <v>0</v>
      </c>
      <c r="FS29">
        <v>0</v>
      </c>
      <c r="FX29">
        <v>102</v>
      </c>
      <c r="FY29">
        <v>54</v>
      </c>
      <c r="GA29" t="s">
        <v>3</v>
      </c>
      <c r="GD29">
        <v>1</v>
      </c>
      <c r="GF29">
        <v>625911824</v>
      </c>
      <c r="GG29">
        <v>2</v>
      </c>
      <c r="GH29">
        <v>1</v>
      </c>
      <c r="GI29">
        <v>4</v>
      </c>
      <c r="GJ29">
        <v>0</v>
      </c>
      <c r="GK29">
        <v>0</v>
      </c>
      <c r="GL29">
        <f t="shared" si="46"/>
        <v>0</v>
      </c>
      <c r="GM29">
        <f t="shared" si="47"/>
        <v>5330.48</v>
      </c>
      <c r="GN29">
        <f t="shared" si="48"/>
        <v>5330.48</v>
      </c>
      <c r="GO29">
        <f t="shared" si="49"/>
        <v>0</v>
      </c>
      <c r="GP29">
        <f t="shared" si="50"/>
        <v>0</v>
      </c>
      <c r="GR29">
        <v>0</v>
      </c>
      <c r="GS29">
        <v>3</v>
      </c>
      <c r="GT29">
        <v>0</v>
      </c>
      <c r="GU29" t="s">
        <v>3</v>
      </c>
      <c r="GV29">
        <f t="shared" si="51"/>
        <v>0</v>
      </c>
      <c r="GW29">
        <v>1</v>
      </c>
      <c r="GX29">
        <f t="shared" si="52"/>
        <v>0</v>
      </c>
      <c r="HA29">
        <v>0</v>
      </c>
      <c r="HB29">
        <v>0</v>
      </c>
      <c r="HC29">
        <f t="shared" si="53"/>
        <v>0</v>
      </c>
      <c r="HE29" t="s">
        <v>3</v>
      </c>
      <c r="HF29" t="s">
        <v>3</v>
      </c>
      <c r="HI29">
        <f t="shared" si="54"/>
        <v>0</v>
      </c>
      <c r="HJ29">
        <f t="shared" si="55"/>
        <v>50473.01</v>
      </c>
      <c r="HK29">
        <f t="shared" si="56"/>
        <v>51482.47</v>
      </c>
      <c r="HL29">
        <f t="shared" si="57"/>
        <v>27255.43</v>
      </c>
      <c r="HM29" t="s">
        <v>3</v>
      </c>
      <c r="HN29" t="s">
        <v>26</v>
      </c>
      <c r="HO29" t="s">
        <v>27</v>
      </c>
      <c r="HP29" t="s">
        <v>24</v>
      </c>
      <c r="HQ29" t="s">
        <v>24</v>
      </c>
      <c r="IK29">
        <v>0</v>
      </c>
    </row>
    <row r="30" spans="1:255">
      <c r="A30" s="2">
        <v>17</v>
      </c>
      <c r="B30" s="2">
        <v>1</v>
      </c>
      <c r="C30" s="2">
        <f>ROW(SmtRes!A7)</f>
        <v>7</v>
      </c>
      <c r="D30" s="2">
        <f>ROW(EtalonRes!A7)</f>
        <v>7</v>
      </c>
      <c r="E30" s="2" t="s">
        <v>36</v>
      </c>
      <c r="F30" s="2" t="s">
        <v>37</v>
      </c>
      <c r="G30" s="2" t="s">
        <v>38</v>
      </c>
      <c r="H30" s="2" t="s">
        <v>21</v>
      </c>
      <c r="I30" s="2">
        <f>ROUND(ROUND(4.69,4),7)</f>
        <v>4.6900000000000004</v>
      </c>
      <c r="J30" s="2">
        <v>0</v>
      </c>
      <c r="K30" s="2">
        <f>ROUND(ROUND(4.69,4),7)</f>
        <v>4.6900000000000004</v>
      </c>
      <c r="L30" s="2"/>
      <c r="M30" s="2"/>
      <c r="N30" s="2"/>
      <c r="O30" s="2">
        <f t="shared" si="14"/>
        <v>83.39</v>
      </c>
      <c r="P30" s="2">
        <f t="shared" si="15"/>
        <v>0</v>
      </c>
      <c r="Q30" s="2">
        <f t="shared" si="16"/>
        <v>0</v>
      </c>
      <c r="R30" s="2">
        <f t="shared" si="17"/>
        <v>0</v>
      </c>
      <c r="S30" s="2">
        <f t="shared" si="18"/>
        <v>83.39</v>
      </c>
      <c r="T30" s="2">
        <f t="shared" si="19"/>
        <v>0</v>
      </c>
      <c r="U30" s="2">
        <f t="shared" si="20"/>
        <v>9.192400000000001</v>
      </c>
      <c r="V30" s="2">
        <f t="shared" si="21"/>
        <v>0</v>
      </c>
      <c r="W30" s="2">
        <f t="shared" si="22"/>
        <v>0</v>
      </c>
      <c r="X30" s="2">
        <f t="shared" si="23"/>
        <v>85.06</v>
      </c>
      <c r="Y30" s="2">
        <f t="shared" si="24"/>
        <v>45.03</v>
      </c>
      <c r="Z30" s="2"/>
      <c r="AA30" s="2">
        <v>73147424</v>
      </c>
      <c r="AB30" s="2">
        <f t="shared" si="25"/>
        <v>17.78</v>
      </c>
      <c r="AC30" s="2">
        <f t="shared" si="26"/>
        <v>0</v>
      </c>
      <c r="AD30" s="2">
        <f t="shared" si="27"/>
        <v>0</v>
      </c>
      <c r="AE30" s="2">
        <f t="shared" si="28"/>
        <v>0</v>
      </c>
      <c r="AF30" s="2">
        <f t="shared" si="29"/>
        <v>17.78</v>
      </c>
      <c r="AG30" s="2">
        <f t="shared" si="30"/>
        <v>0</v>
      </c>
      <c r="AH30" s="2">
        <f t="shared" si="31"/>
        <v>1.96</v>
      </c>
      <c r="AI30" s="2">
        <f t="shared" si="32"/>
        <v>0</v>
      </c>
      <c r="AJ30" s="2">
        <f t="shared" si="33"/>
        <v>0</v>
      </c>
      <c r="AK30" s="2">
        <v>17.78</v>
      </c>
      <c r="AL30" s="2">
        <v>0</v>
      </c>
      <c r="AM30" s="2">
        <v>0</v>
      </c>
      <c r="AN30" s="2">
        <v>0</v>
      </c>
      <c r="AO30" s="2">
        <v>17.78</v>
      </c>
      <c r="AP30" s="2">
        <v>0</v>
      </c>
      <c r="AQ30" s="2">
        <v>1.96</v>
      </c>
      <c r="AR30" s="2">
        <v>0</v>
      </c>
      <c r="AS30" s="2">
        <v>0</v>
      </c>
      <c r="AT30" s="2">
        <v>102</v>
      </c>
      <c r="AU30" s="2">
        <v>54</v>
      </c>
      <c r="AV30" s="2">
        <v>1</v>
      </c>
      <c r="AW30" s="2">
        <v>1</v>
      </c>
      <c r="AX30" s="2"/>
      <c r="AY30" s="2"/>
      <c r="AZ30" s="2">
        <v>1</v>
      </c>
      <c r="BA30" s="2">
        <v>1</v>
      </c>
      <c r="BB30" s="2">
        <v>1</v>
      </c>
      <c r="BC30" s="2">
        <v>1</v>
      </c>
      <c r="BD30" s="2" t="s">
        <v>3</v>
      </c>
      <c r="BE30" s="2" t="s">
        <v>3</v>
      </c>
      <c r="BF30" s="2" t="s">
        <v>3</v>
      </c>
      <c r="BG30" s="2" t="s">
        <v>3</v>
      </c>
      <c r="BH30" s="2">
        <v>0</v>
      </c>
      <c r="BI30" s="2">
        <v>1</v>
      </c>
      <c r="BJ30" s="2" t="s">
        <v>39</v>
      </c>
      <c r="BK30" s="2"/>
      <c r="BL30" s="2"/>
      <c r="BM30" s="2">
        <v>68001</v>
      </c>
      <c r="BN30" s="2">
        <v>0</v>
      </c>
      <c r="BO30" s="2" t="s">
        <v>3</v>
      </c>
      <c r="BP30" s="2">
        <v>0</v>
      </c>
      <c r="BQ30" s="2">
        <v>6</v>
      </c>
      <c r="BR30" s="2">
        <v>0</v>
      </c>
      <c r="BS30" s="2">
        <v>1</v>
      </c>
      <c r="BT30" s="2">
        <v>1</v>
      </c>
      <c r="BU30" s="2">
        <v>1</v>
      </c>
      <c r="BV30" s="2">
        <v>1</v>
      </c>
      <c r="BW30" s="2">
        <v>1</v>
      </c>
      <c r="BX30" s="2">
        <v>1</v>
      </c>
      <c r="BY30" s="2" t="s">
        <v>3</v>
      </c>
      <c r="BZ30" s="2">
        <v>102</v>
      </c>
      <c r="CA30" s="2">
        <v>54</v>
      </c>
      <c r="CB30" s="2" t="s">
        <v>3</v>
      </c>
      <c r="CC30" s="2"/>
      <c r="CD30" s="2"/>
      <c r="CE30" s="2">
        <v>0</v>
      </c>
      <c r="CF30" s="2">
        <v>0</v>
      </c>
      <c r="CG30" s="2">
        <v>0</v>
      </c>
      <c r="CH30" s="2"/>
      <c r="CI30" s="2"/>
      <c r="CJ30" s="2"/>
      <c r="CK30" s="2"/>
      <c r="CL30" s="2"/>
      <c r="CM30" s="2">
        <v>0</v>
      </c>
      <c r="CN30" s="2" t="s">
        <v>3</v>
      </c>
      <c r="CO30" s="2">
        <v>0</v>
      </c>
      <c r="CP30" s="2">
        <f t="shared" si="34"/>
        <v>83.39</v>
      </c>
      <c r="CQ30" s="2">
        <f t="shared" si="35"/>
        <v>0</v>
      </c>
      <c r="CR30" s="2">
        <f t="shared" si="36"/>
        <v>0</v>
      </c>
      <c r="CS30" s="2">
        <f t="shared" si="37"/>
        <v>0</v>
      </c>
      <c r="CT30" s="2">
        <f t="shared" si="38"/>
        <v>17.78</v>
      </c>
      <c r="CU30" s="2">
        <f t="shared" si="39"/>
        <v>0</v>
      </c>
      <c r="CV30" s="2">
        <f t="shared" si="40"/>
        <v>1.96</v>
      </c>
      <c r="CW30" s="2">
        <f t="shared" si="41"/>
        <v>0</v>
      </c>
      <c r="CX30" s="2">
        <f t="shared" si="42"/>
        <v>0</v>
      </c>
      <c r="CY30" s="2">
        <f t="shared" si="43"/>
        <v>85.0578</v>
      </c>
      <c r="CZ30" s="2">
        <f t="shared" si="44"/>
        <v>45.030600000000007</v>
      </c>
      <c r="DA30" s="2"/>
      <c r="DB30" s="2"/>
      <c r="DC30" s="2" t="s">
        <v>3</v>
      </c>
      <c r="DD30" s="2" t="s">
        <v>3</v>
      </c>
      <c r="DE30" s="2" t="s">
        <v>3</v>
      </c>
      <c r="DF30" s="2" t="s">
        <v>3</v>
      </c>
      <c r="DG30" s="2" t="s">
        <v>3</v>
      </c>
      <c r="DH30" s="2" t="s">
        <v>3</v>
      </c>
      <c r="DI30" s="2" t="s">
        <v>3</v>
      </c>
      <c r="DJ30" s="2" t="s">
        <v>3</v>
      </c>
      <c r="DK30" s="2" t="s">
        <v>3</v>
      </c>
      <c r="DL30" s="2" t="s">
        <v>3</v>
      </c>
      <c r="DM30" s="2" t="s">
        <v>3</v>
      </c>
      <c r="DN30" s="2">
        <v>0</v>
      </c>
      <c r="DO30" s="2">
        <v>0</v>
      </c>
      <c r="DP30" s="2">
        <v>1</v>
      </c>
      <c r="DQ30" s="2">
        <v>1</v>
      </c>
      <c r="DR30" s="2"/>
      <c r="DS30" s="2"/>
      <c r="DT30" s="2"/>
      <c r="DU30" s="2">
        <v>1007</v>
      </c>
      <c r="DV30" s="2" t="s">
        <v>21</v>
      </c>
      <c r="DW30" s="2" t="s">
        <v>21</v>
      </c>
      <c r="DX30" s="2">
        <v>1</v>
      </c>
      <c r="DY30" s="2"/>
      <c r="DZ30" s="2" t="s">
        <v>3</v>
      </c>
      <c r="EA30" s="2" t="s">
        <v>3</v>
      </c>
      <c r="EB30" s="2" t="s">
        <v>3</v>
      </c>
      <c r="EC30" s="2" t="s">
        <v>3</v>
      </c>
      <c r="ED30" s="2"/>
      <c r="EE30" s="2">
        <v>65361239</v>
      </c>
      <c r="EF30" s="2">
        <v>6</v>
      </c>
      <c r="EG30" s="2" t="s">
        <v>23</v>
      </c>
      <c r="EH30" s="2">
        <v>102</v>
      </c>
      <c r="EI30" s="2" t="s">
        <v>24</v>
      </c>
      <c r="EJ30" s="2">
        <v>1</v>
      </c>
      <c r="EK30" s="2">
        <v>68001</v>
      </c>
      <c r="EL30" s="2" t="s">
        <v>24</v>
      </c>
      <c r="EM30" s="2" t="s">
        <v>25</v>
      </c>
      <c r="EN30" s="2"/>
      <c r="EO30" s="2" t="s">
        <v>3</v>
      </c>
      <c r="EP30" s="2"/>
      <c r="EQ30" s="2">
        <v>1310720</v>
      </c>
      <c r="ER30" s="2">
        <v>17.78</v>
      </c>
      <c r="ES30" s="2">
        <v>0</v>
      </c>
      <c r="ET30" s="2">
        <v>0</v>
      </c>
      <c r="EU30" s="2">
        <v>0</v>
      </c>
      <c r="EV30" s="2">
        <v>17.78</v>
      </c>
      <c r="EW30" s="2">
        <v>1.96</v>
      </c>
      <c r="EX30" s="2">
        <v>0</v>
      </c>
      <c r="EY30" s="2">
        <v>0</v>
      </c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>
        <v>0</v>
      </c>
      <c r="FR30" s="2">
        <f t="shared" si="45"/>
        <v>0</v>
      </c>
      <c r="FS30" s="2">
        <v>0</v>
      </c>
      <c r="FT30" s="2"/>
      <c r="FU30" s="2"/>
      <c r="FV30" s="2"/>
      <c r="FW30" s="2"/>
      <c r="FX30" s="2">
        <v>102</v>
      </c>
      <c r="FY30" s="2">
        <v>54</v>
      </c>
      <c r="FZ30" s="2"/>
      <c r="GA30" s="2" t="s">
        <v>3</v>
      </c>
      <c r="GB30" s="2"/>
      <c r="GC30" s="2"/>
      <c r="GD30" s="2">
        <v>1</v>
      </c>
      <c r="GE30" s="2"/>
      <c r="GF30" s="2">
        <v>239998841</v>
      </c>
      <c r="GG30" s="2">
        <v>2</v>
      </c>
      <c r="GH30" s="2">
        <v>1</v>
      </c>
      <c r="GI30" s="2">
        <v>-2</v>
      </c>
      <c r="GJ30" s="2">
        <v>0</v>
      </c>
      <c r="GK30" s="2">
        <v>0</v>
      </c>
      <c r="GL30" s="2">
        <f t="shared" si="46"/>
        <v>0</v>
      </c>
      <c r="GM30" s="2">
        <f t="shared" si="47"/>
        <v>213.48</v>
      </c>
      <c r="GN30" s="2">
        <f t="shared" si="48"/>
        <v>213.48</v>
      </c>
      <c r="GO30" s="2">
        <f t="shared" si="49"/>
        <v>0</v>
      </c>
      <c r="GP30" s="2">
        <f t="shared" si="50"/>
        <v>0</v>
      </c>
      <c r="GQ30" s="2"/>
      <c r="GR30" s="2">
        <v>0</v>
      </c>
      <c r="GS30" s="2">
        <v>3</v>
      </c>
      <c r="GT30" s="2">
        <v>0</v>
      </c>
      <c r="GU30" s="2" t="s">
        <v>3</v>
      </c>
      <c r="GV30" s="2">
        <f t="shared" si="51"/>
        <v>0</v>
      </c>
      <c r="GW30" s="2">
        <v>1</v>
      </c>
      <c r="GX30" s="2">
        <f t="shared" si="52"/>
        <v>0</v>
      </c>
      <c r="GY30" s="2"/>
      <c r="GZ30" s="2"/>
      <c r="HA30" s="2">
        <v>0</v>
      </c>
      <c r="HB30" s="2">
        <v>0</v>
      </c>
      <c r="HC30" s="2">
        <f t="shared" si="53"/>
        <v>0</v>
      </c>
      <c r="HD30" s="2"/>
      <c r="HE30" s="2" t="s">
        <v>3</v>
      </c>
      <c r="HF30" s="2" t="s">
        <v>3</v>
      </c>
      <c r="HG30" s="2"/>
      <c r="HH30" s="2"/>
      <c r="HI30" s="2">
        <f t="shared" si="54"/>
        <v>0</v>
      </c>
      <c r="HJ30" s="2">
        <f t="shared" si="55"/>
        <v>83.39</v>
      </c>
      <c r="HK30" s="2">
        <f t="shared" si="56"/>
        <v>85.06</v>
      </c>
      <c r="HL30" s="2">
        <f t="shared" si="57"/>
        <v>45.03</v>
      </c>
      <c r="HM30" s="2" t="s">
        <v>3</v>
      </c>
      <c r="HN30" s="2" t="s">
        <v>26</v>
      </c>
      <c r="HO30" s="2" t="s">
        <v>27</v>
      </c>
      <c r="HP30" s="2" t="s">
        <v>24</v>
      </c>
      <c r="HQ30" s="2" t="s">
        <v>24</v>
      </c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>
        <v>0</v>
      </c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>
      <c r="A31">
        <v>17</v>
      </c>
      <c r="B31">
        <v>1</v>
      </c>
      <c r="C31">
        <f>ROW(SmtRes!A8)</f>
        <v>8</v>
      </c>
      <c r="D31">
        <f>ROW(EtalonRes!A8)</f>
        <v>8</v>
      </c>
      <c r="E31" t="s">
        <v>36</v>
      </c>
      <c r="F31" t="s">
        <v>37</v>
      </c>
      <c r="G31" t="s">
        <v>38</v>
      </c>
      <c r="H31" t="s">
        <v>21</v>
      </c>
      <c r="I31">
        <f>ROUND(ROUND(4.69,4),7)</f>
        <v>4.6900000000000004</v>
      </c>
      <c r="J31">
        <v>0</v>
      </c>
      <c r="K31">
        <f>ROUND(ROUND(4.69,4),7)</f>
        <v>4.6900000000000004</v>
      </c>
      <c r="O31">
        <f t="shared" si="14"/>
        <v>83.39</v>
      </c>
      <c r="P31">
        <f t="shared" si="15"/>
        <v>0</v>
      </c>
      <c r="Q31">
        <f t="shared" si="16"/>
        <v>0</v>
      </c>
      <c r="R31">
        <f t="shared" si="17"/>
        <v>0</v>
      </c>
      <c r="S31">
        <f t="shared" si="18"/>
        <v>83.39</v>
      </c>
      <c r="T31">
        <f t="shared" si="19"/>
        <v>0</v>
      </c>
      <c r="U31">
        <f t="shared" si="20"/>
        <v>9.192400000000001</v>
      </c>
      <c r="V31">
        <f t="shared" si="21"/>
        <v>0</v>
      </c>
      <c r="W31">
        <f t="shared" si="22"/>
        <v>0</v>
      </c>
      <c r="X31">
        <f t="shared" si="23"/>
        <v>85.06</v>
      </c>
      <c r="Y31">
        <f t="shared" si="24"/>
        <v>45.03</v>
      </c>
      <c r="AA31">
        <v>73147422</v>
      </c>
      <c r="AB31">
        <f t="shared" si="25"/>
        <v>17.78</v>
      </c>
      <c r="AC31">
        <f t="shared" si="26"/>
        <v>0</v>
      </c>
      <c r="AD31">
        <f t="shared" si="27"/>
        <v>0</v>
      </c>
      <c r="AE31">
        <f t="shared" si="28"/>
        <v>0</v>
      </c>
      <c r="AF31">
        <f t="shared" si="29"/>
        <v>17.78</v>
      </c>
      <c r="AG31">
        <f t="shared" si="30"/>
        <v>0</v>
      </c>
      <c r="AH31">
        <f t="shared" si="31"/>
        <v>1.96</v>
      </c>
      <c r="AI31">
        <f t="shared" si="32"/>
        <v>0</v>
      </c>
      <c r="AJ31">
        <f t="shared" si="33"/>
        <v>0</v>
      </c>
      <c r="AK31">
        <v>17.78</v>
      </c>
      <c r="AL31">
        <v>0</v>
      </c>
      <c r="AM31">
        <v>0</v>
      </c>
      <c r="AN31">
        <v>0</v>
      </c>
      <c r="AO31">
        <v>17.78</v>
      </c>
      <c r="AP31">
        <v>0</v>
      </c>
      <c r="AQ31">
        <v>1.96</v>
      </c>
      <c r="AR31">
        <v>0</v>
      </c>
      <c r="AS31">
        <v>0</v>
      </c>
      <c r="AT31">
        <v>102</v>
      </c>
      <c r="AU31">
        <v>54</v>
      </c>
      <c r="AV31">
        <v>1</v>
      </c>
      <c r="AW31">
        <v>1</v>
      </c>
      <c r="AZ31">
        <v>1</v>
      </c>
      <c r="BA31">
        <v>24.24</v>
      </c>
      <c r="BB31">
        <v>1</v>
      </c>
      <c r="BC31">
        <v>1</v>
      </c>
      <c r="BD31" t="s">
        <v>3</v>
      </c>
      <c r="BE31" t="s">
        <v>3</v>
      </c>
      <c r="BF31" t="s">
        <v>3</v>
      </c>
      <c r="BG31" t="s">
        <v>3</v>
      </c>
      <c r="BH31">
        <v>0</v>
      </c>
      <c r="BI31">
        <v>1</v>
      </c>
      <c r="BJ31" t="s">
        <v>39</v>
      </c>
      <c r="BM31">
        <v>68001</v>
      </c>
      <c r="BN31">
        <v>0</v>
      </c>
      <c r="BO31" t="s">
        <v>3</v>
      </c>
      <c r="BP31">
        <v>0</v>
      </c>
      <c r="BQ31">
        <v>6</v>
      </c>
      <c r="BR31">
        <v>0</v>
      </c>
      <c r="BS31">
        <v>24.24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102</v>
      </c>
      <c r="CA31">
        <v>54</v>
      </c>
      <c r="CB31" t="s">
        <v>3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4"/>
        <v>83.39</v>
      </c>
      <c r="CQ31">
        <f t="shared" si="35"/>
        <v>0</v>
      </c>
      <c r="CR31">
        <f t="shared" si="36"/>
        <v>0</v>
      </c>
      <c r="CS31">
        <f t="shared" si="37"/>
        <v>0</v>
      </c>
      <c r="CT31">
        <f t="shared" si="38"/>
        <v>17.78</v>
      </c>
      <c r="CU31">
        <f t="shared" si="39"/>
        <v>0</v>
      </c>
      <c r="CV31">
        <f t="shared" si="40"/>
        <v>1.96</v>
      </c>
      <c r="CW31">
        <f t="shared" si="41"/>
        <v>0</v>
      </c>
      <c r="CX31">
        <f t="shared" si="42"/>
        <v>0</v>
      </c>
      <c r="CY31">
        <f t="shared" si="43"/>
        <v>85.0578</v>
      </c>
      <c r="CZ31">
        <f t="shared" si="44"/>
        <v>45.030600000000007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1007</v>
      </c>
      <c r="DV31" t="s">
        <v>21</v>
      </c>
      <c r="DW31" t="s">
        <v>21</v>
      </c>
      <c r="DX31">
        <v>1</v>
      </c>
      <c r="DZ31" t="s">
        <v>3</v>
      </c>
      <c r="EA31" t="s">
        <v>3</v>
      </c>
      <c r="EB31" t="s">
        <v>3</v>
      </c>
      <c r="EC31" t="s">
        <v>3</v>
      </c>
      <c r="EE31">
        <v>65361239</v>
      </c>
      <c r="EF31">
        <v>6</v>
      </c>
      <c r="EG31" t="s">
        <v>23</v>
      </c>
      <c r="EH31">
        <v>102</v>
      </c>
      <c r="EI31" t="s">
        <v>24</v>
      </c>
      <c r="EJ31">
        <v>1</v>
      </c>
      <c r="EK31">
        <v>68001</v>
      </c>
      <c r="EL31" t="s">
        <v>24</v>
      </c>
      <c r="EM31" t="s">
        <v>25</v>
      </c>
      <c r="EO31" t="s">
        <v>3</v>
      </c>
      <c r="EQ31">
        <v>1310720</v>
      </c>
      <c r="ER31">
        <v>17.78</v>
      </c>
      <c r="ES31">
        <v>0</v>
      </c>
      <c r="ET31">
        <v>0</v>
      </c>
      <c r="EU31">
        <v>0</v>
      </c>
      <c r="EV31">
        <v>17.78</v>
      </c>
      <c r="EW31">
        <v>1.96</v>
      </c>
      <c r="EX31">
        <v>0</v>
      </c>
      <c r="EY31">
        <v>0</v>
      </c>
      <c r="FQ31">
        <v>0</v>
      </c>
      <c r="FR31">
        <f t="shared" si="45"/>
        <v>0</v>
      </c>
      <c r="FS31">
        <v>0</v>
      </c>
      <c r="FX31">
        <v>102</v>
      </c>
      <c r="FY31">
        <v>54</v>
      </c>
      <c r="GA31" t="s">
        <v>3</v>
      </c>
      <c r="GD31">
        <v>1</v>
      </c>
      <c r="GF31">
        <v>239998841</v>
      </c>
      <c r="GG31">
        <v>2</v>
      </c>
      <c r="GH31">
        <v>1</v>
      </c>
      <c r="GI31">
        <v>4</v>
      </c>
      <c r="GJ31">
        <v>0</v>
      </c>
      <c r="GK31">
        <v>0</v>
      </c>
      <c r="GL31">
        <f t="shared" si="46"/>
        <v>0</v>
      </c>
      <c r="GM31">
        <f t="shared" si="47"/>
        <v>213.48</v>
      </c>
      <c r="GN31">
        <f t="shared" si="48"/>
        <v>213.48</v>
      </c>
      <c r="GO31">
        <f t="shared" si="49"/>
        <v>0</v>
      </c>
      <c r="GP31">
        <f t="shared" si="50"/>
        <v>0</v>
      </c>
      <c r="GR31">
        <v>0</v>
      </c>
      <c r="GS31">
        <v>3</v>
      </c>
      <c r="GT31">
        <v>0</v>
      </c>
      <c r="GU31" t="s">
        <v>3</v>
      </c>
      <c r="GV31">
        <f t="shared" si="51"/>
        <v>0</v>
      </c>
      <c r="GW31">
        <v>1</v>
      </c>
      <c r="GX31">
        <f t="shared" si="52"/>
        <v>0</v>
      </c>
      <c r="HA31">
        <v>0</v>
      </c>
      <c r="HB31">
        <v>0</v>
      </c>
      <c r="HC31">
        <f t="shared" si="53"/>
        <v>0</v>
      </c>
      <c r="HE31" t="s">
        <v>3</v>
      </c>
      <c r="HF31" t="s">
        <v>3</v>
      </c>
      <c r="HI31">
        <f t="shared" si="54"/>
        <v>0</v>
      </c>
      <c r="HJ31">
        <f t="shared" si="55"/>
        <v>2021.37</v>
      </c>
      <c r="HK31">
        <f t="shared" si="56"/>
        <v>2061.8000000000002</v>
      </c>
      <c r="HL31">
        <f t="shared" si="57"/>
        <v>1091.54</v>
      </c>
      <c r="HM31" t="s">
        <v>3</v>
      </c>
      <c r="HN31" t="s">
        <v>26</v>
      </c>
      <c r="HO31" t="s">
        <v>27</v>
      </c>
      <c r="HP31" t="s">
        <v>24</v>
      </c>
      <c r="HQ31" t="s">
        <v>24</v>
      </c>
      <c r="IK31">
        <v>0</v>
      </c>
    </row>
    <row r="32" spans="1:255">
      <c r="A32" s="2">
        <v>17</v>
      </c>
      <c r="B32" s="2">
        <v>1</v>
      </c>
      <c r="C32" s="2">
        <f>ROW(SmtRes!A9)</f>
        <v>9</v>
      </c>
      <c r="D32" s="2">
        <f>ROW(EtalonRes!A9)</f>
        <v>9</v>
      </c>
      <c r="E32" s="2" t="s">
        <v>40</v>
      </c>
      <c r="F32" s="2" t="s">
        <v>41</v>
      </c>
      <c r="G32" s="2" t="s">
        <v>42</v>
      </c>
      <c r="H32" s="2" t="s">
        <v>43</v>
      </c>
      <c r="I32" s="2">
        <f>ROUND(ROUND(800/100,4),7)</f>
        <v>8</v>
      </c>
      <c r="J32" s="2">
        <v>0</v>
      </c>
      <c r="K32" s="2">
        <f>ROUND(ROUND(800/100,4),7)</f>
        <v>8</v>
      </c>
      <c r="L32" s="2"/>
      <c r="M32" s="2"/>
      <c r="N32" s="2"/>
      <c r="O32" s="2">
        <f t="shared" si="14"/>
        <v>302.32</v>
      </c>
      <c r="P32" s="2">
        <f t="shared" si="15"/>
        <v>0</v>
      </c>
      <c r="Q32" s="2">
        <f t="shared" si="16"/>
        <v>0</v>
      </c>
      <c r="R32" s="2">
        <f t="shared" si="17"/>
        <v>0</v>
      </c>
      <c r="S32" s="2">
        <f t="shared" si="18"/>
        <v>302.32</v>
      </c>
      <c r="T32" s="2">
        <f t="shared" si="19"/>
        <v>0</v>
      </c>
      <c r="U32" s="2">
        <f t="shared" si="20"/>
        <v>35.44</v>
      </c>
      <c r="V32" s="2">
        <f t="shared" si="21"/>
        <v>0</v>
      </c>
      <c r="W32" s="2">
        <f t="shared" si="22"/>
        <v>0</v>
      </c>
      <c r="X32" s="2">
        <f t="shared" si="23"/>
        <v>269.06</v>
      </c>
      <c r="Y32" s="2">
        <f t="shared" si="24"/>
        <v>123.95</v>
      </c>
      <c r="Z32" s="2"/>
      <c r="AA32" s="2">
        <v>73147424</v>
      </c>
      <c r="AB32" s="2">
        <f t="shared" si="25"/>
        <v>37.79</v>
      </c>
      <c r="AC32" s="2">
        <f t="shared" si="26"/>
        <v>0</v>
      </c>
      <c r="AD32" s="2">
        <f t="shared" si="27"/>
        <v>0</v>
      </c>
      <c r="AE32" s="2">
        <f t="shared" si="28"/>
        <v>0</v>
      </c>
      <c r="AF32" s="2">
        <f t="shared" si="29"/>
        <v>37.79</v>
      </c>
      <c r="AG32" s="2">
        <f t="shared" si="30"/>
        <v>0</v>
      </c>
      <c r="AH32" s="2">
        <f t="shared" si="31"/>
        <v>4.43</v>
      </c>
      <c r="AI32" s="2">
        <f t="shared" si="32"/>
        <v>0</v>
      </c>
      <c r="AJ32" s="2">
        <f t="shared" si="33"/>
        <v>0</v>
      </c>
      <c r="AK32" s="2">
        <v>37.79</v>
      </c>
      <c r="AL32" s="2">
        <v>0</v>
      </c>
      <c r="AM32" s="2">
        <v>0</v>
      </c>
      <c r="AN32" s="2">
        <v>0</v>
      </c>
      <c r="AO32" s="2">
        <v>37.79</v>
      </c>
      <c r="AP32" s="2">
        <v>0</v>
      </c>
      <c r="AQ32" s="2">
        <v>4.43</v>
      </c>
      <c r="AR32" s="2">
        <v>0</v>
      </c>
      <c r="AS32" s="2">
        <v>0</v>
      </c>
      <c r="AT32" s="2">
        <v>89</v>
      </c>
      <c r="AU32" s="2">
        <v>41</v>
      </c>
      <c r="AV32" s="2">
        <v>1</v>
      </c>
      <c r="AW32" s="2">
        <v>1</v>
      </c>
      <c r="AX32" s="2"/>
      <c r="AY32" s="2"/>
      <c r="AZ32" s="2">
        <v>1</v>
      </c>
      <c r="BA32" s="2">
        <v>1</v>
      </c>
      <c r="BB32" s="2">
        <v>1</v>
      </c>
      <c r="BC32" s="2">
        <v>1</v>
      </c>
      <c r="BD32" s="2" t="s">
        <v>3</v>
      </c>
      <c r="BE32" s="2" t="s">
        <v>3</v>
      </c>
      <c r="BF32" s="2" t="s">
        <v>3</v>
      </c>
      <c r="BG32" s="2" t="s">
        <v>3</v>
      </c>
      <c r="BH32" s="2">
        <v>0</v>
      </c>
      <c r="BI32" s="2">
        <v>1</v>
      </c>
      <c r="BJ32" s="2" t="s">
        <v>44</v>
      </c>
      <c r="BK32" s="2"/>
      <c r="BL32" s="2"/>
      <c r="BM32" s="2">
        <v>1007</v>
      </c>
      <c r="BN32" s="2">
        <v>0</v>
      </c>
      <c r="BO32" s="2" t="s">
        <v>3</v>
      </c>
      <c r="BP32" s="2">
        <v>0</v>
      </c>
      <c r="BQ32" s="2">
        <v>2</v>
      </c>
      <c r="BR32" s="2">
        <v>0</v>
      </c>
      <c r="BS32" s="2">
        <v>1</v>
      </c>
      <c r="BT32" s="2">
        <v>1</v>
      </c>
      <c r="BU32" s="2">
        <v>1</v>
      </c>
      <c r="BV32" s="2">
        <v>1</v>
      </c>
      <c r="BW32" s="2">
        <v>1</v>
      </c>
      <c r="BX32" s="2">
        <v>1</v>
      </c>
      <c r="BY32" s="2" t="s">
        <v>3</v>
      </c>
      <c r="BZ32" s="2">
        <v>89</v>
      </c>
      <c r="CA32" s="2">
        <v>41</v>
      </c>
      <c r="CB32" s="2" t="s">
        <v>3</v>
      </c>
      <c r="CC32" s="2"/>
      <c r="CD32" s="2"/>
      <c r="CE32" s="2">
        <v>0</v>
      </c>
      <c r="CF32" s="2">
        <v>0</v>
      </c>
      <c r="CG32" s="2">
        <v>0</v>
      </c>
      <c r="CH32" s="2"/>
      <c r="CI32" s="2"/>
      <c r="CJ32" s="2"/>
      <c r="CK32" s="2"/>
      <c r="CL32" s="2"/>
      <c r="CM32" s="2">
        <v>0</v>
      </c>
      <c r="CN32" s="2" t="s">
        <v>3</v>
      </c>
      <c r="CO32" s="2">
        <v>0</v>
      </c>
      <c r="CP32" s="2">
        <f t="shared" si="34"/>
        <v>302.32</v>
      </c>
      <c r="CQ32" s="2">
        <f t="shared" si="35"/>
        <v>0</v>
      </c>
      <c r="CR32" s="2">
        <f t="shared" si="36"/>
        <v>0</v>
      </c>
      <c r="CS32" s="2">
        <f t="shared" si="37"/>
        <v>0</v>
      </c>
      <c r="CT32" s="2">
        <f t="shared" si="38"/>
        <v>37.79</v>
      </c>
      <c r="CU32" s="2">
        <f t="shared" si="39"/>
        <v>0</v>
      </c>
      <c r="CV32" s="2">
        <f t="shared" si="40"/>
        <v>4.43</v>
      </c>
      <c r="CW32" s="2">
        <f t="shared" si="41"/>
        <v>0</v>
      </c>
      <c r="CX32" s="2">
        <f t="shared" si="42"/>
        <v>0</v>
      </c>
      <c r="CY32" s="2">
        <f t="shared" si="43"/>
        <v>269.06479999999999</v>
      </c>
      <c r="CZ32" s="2">
        <f t="shared" si="44"/>
        <v>123.95119999999999</v>
      </c>
      <c r="DA32" s="2"/>
      <c r="DB32" s="2"/>
      <c r="DC32" s="2" t="s">
        <v>3</v>
      </c>
      <c r="DD32" s="2" t="s">
        <v>3</v>
      </c>
      <c r="DE32" s="2" t="s">
        <v>3</v>
      </c>
      <c r="DF32" s="2" t="s">
        <v>3</v>
      </c>
      <c r="DG32" s="2" t="s">
        <v>3</v>
      </c>
      <c r="DH32" s="2" t="s">
        <v>3</v>
      </c>
      <c r="DI32" s="2" t="s">
        <v>3</v>
      </c>
      <c r="DJ32" s="2" t="s">
        <v>3</v>
      </c>
      <c r="DK32" s="2" t="s">
        <v>3</v>
      </c>
      <c r="DL32" s="2" t="s">
        <v>3</v>
      </c>
      <c r="DM32" s="2" t="s">
        <v>3</v>
      </c>
      <c r="DN32" s="2">
        <v>0</v>
      </c>
      <c r="DO32" s="2">
        <v>0</v>
      </c>
      <c r="DP32" s="2">
        <v>1</v>
      </c>
      <c r="DQ32" s="2">
        <v>1</v>
      </c>
      <c r="DR32" s="2"/>
      <c r="DS32" s="2"/>
      <c r="DT32" s="2"/>
      <c r="DU32" s="2">
        <v>1005</v>
      </c>
      <c r="DV32" s="2" t="s">
        <v>43</v>
      </c>
      <c r="DW32" s="2" t="s">
        <v>43</v>
      </c>
      <c r="DX32" s="2">
        <v>100</v>
      </c>
      <c r="DY32" s="2"/>
      <c r="DZ32" s="2" t="s">
        <v>3</v>
      </c>
      <c r="EA32" s="2" t="s">
        <v>3</v>
      </c>
      <c r="EB32" s="2" t="s">
        <v>3</v>
      </c>
      <c r="EC32" s="2" t="s">
        <v>3</v>
      </c>
      <c r="ED32" s="2"/>
      <c r="EE32" s="2">
        <v>65361093</v>
      </c>
      <c r="EF32" s="2">
        <v>2</v>
      </c>
      <c r="EG32" s="2" t="s">
        <v>45</v>
      </c>
      <c r="EH32" s="2">
        <v>1</v>
      </c>
      <c r="EI32" s="2" t="s">
        <v>46</v>
      </c>
      <c r="EJ32" s="2">
        <v>1</v>
      </c>
      <c r="EK32" s="2">
        <v>1007</v>
      </c>
      <c r="EL32" s="2" t="s">
        <v>47</v>
      </c>
      <c r="EM32" s="2" t="s">
        <v>48</v>
      </c>
      <c r="EN32" s="2"/>
      <c r="EO32" s="2" t="s">
        <v>3</v>
      </c>
      <c r="EP32" s="2"/>
      <c r="EQ32" s="2">
        <v>0</v>
      </c>
      <c r="ER32" s="2">
        <v>37.79</v>
      </c>
      <c r="ES32" s="2">
        <v>0</v>
      </c>
      <c r="ET32" s="2">
        <v>0</v>
      </c>
      <c r="EU32" s="2">
        <v>0</v>
      </c>
      <c r="EV32" s="2">
        <v>37.79</v>
      </c>
      <c r="EW32" s="2">
        <v>4.43</v>
      </c>
      <c r="EX32" s="2">
        <v>0</v>
      </c>
      <c r="EY32" s="2">
        <v>0</v>
      </c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>
        <v>0</v>
      </c>
      <c r="FR32" s="2">
        <f t="shared" si="45"/>
        <v>0</v>
      </c>
      <c r="FS32" s="2">
        <v>0</v>
      </c>
      <c r="FT32" s="2"/>
      <c r="FU32" s="2"/>
      <c r="FV32" s="2"/>
      <c r="FW32" s="2"/>
      <c r="FX32" s="2">
        <v>89</v>
      </c>
      <c r="FY32" s="2">
        <v>41</v>
      </c>
      <c r="FZ32" s="2"/>
      <c r="GA32" s="2" t="s">
        <v>3</v>
      </c>
      <c r="GB32" s="2"/>
      <c r="GC32" s="2"/>
      <c r="GD32" s="2">
        <v>1</v>
      </c>
      <c r="GE32" s="2"/>
      <c r="GF32" s="2">
        <v>-474700564</v>
      </c>
      <c r="GG32" s="2">
        <v>2</v>
      </c>
      <c r="GH32" s="2">
        <v>1</v>
      </c>
      <c r="GI32" s="2">
        <v>-2</v>
      </c>
      <c r="GJ32" s="2">
        <v>0</v>
      </c>
      <c r="GK32" s="2">
        <v>0</v>
      </c>
      <c r="GL32" s="2">
        <f t="shared" si="46"/>
        <v>0</v>
      </c>
      <c r="GM32" s="2">
        <f t="shared" si="47"/>
        <v>695.33</v>
      </c>
      <c r="GN32" s="2">
        <f t="shared" si="48"/>
        <v>695.33</v>
      </c>
      <c r="GO32" s="2">
        <f t="shared" si="49"/>
        <v>0</v>
      </c>
      <c r="GP32" s="2">
        <f t="shared" si="50"/>
        <v>0</v>
      </c>
      <c r="GQ32" s="2"/>
      <c r="GR32" s="2">
        <v>0</v>
      </c>
      <c r="GS32" s="2">
        <v>3</v>
      </c>
      <c r="GT32" s="2">
        <v>0</v>
      </c>
      <c r="GU32" s="2" t="s">
        <v>3</v>
      </c>
      <c r="GV32" s="2">
        <f t="shared" si="51"/>
        <v>0</v>
      </c>
      <c r="GW32" s="2">
        <v>1</v>
      </c>
      <c r="GX32" s="2">
        <f t="shared" si="52"/>
        <v>0</v>
      </c>
      <c r="GY32" s="2"/>
      <c r="GZ32" s="2"/>
      <c r="HA32" s="2">
        <v>0</v>
      </c>
      <c r="HB32" s="2">
        <v>0</v>
      </c>
      <c r="HC32" s="2">
        <f t="shared" si="53"/>
        <v>0</v>
      </c>
      <c r="HD32" s="2"/>
      <c r="HE32" s="2" t="s">
        <v>3</v>
      </c>
      <c r="HF32" s="2" t="s">
        <v>3</v>
      </c>
      <c r="HG32" s="2"/>
      <c r="HH32" s="2"/>
      <c r="HI32" s="2">
        <f t="shared" si="54"/>
        <v>0</v>
      </c>
      <c r="HJ32" s="2">
        <f t="shared" si="55"/>
        <v>302.32</v>
      </c>
      <c r="HK32" s="2">
        <f t="shared" si="56"/>
        <v>269.06</v>
      </c>
      <c r="HL32" s="2">
        <f t="shared" si="57"/>
        <v>123.95</v>
      </c>
      <c r="HM32" s="2" t="s">
        <v>3</v>
      </c>
      <c r="HN32" s="2" t="s">
        <v>49</v>
      </c>
      <c r="HO32" s="2" t="s">
        <v>50</v>
      </c>
      <c r="HP32" s="2" t="s">
        <v>51</v>
      </c>
      <c r="HQ32" s="2" t="s">
        <v>51</v>
      </c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>
        <v>0</v>
      </c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>
      <c r="A33">
        <v>17</v>
      </c>
      <c r="B33">
        <v>1</v>
      </c>
      <c r="C33">
        <f>ROW(SmtRes!A10)</f>
        <v>10</v>
      </c>
      <c r="D33">
        <f>ROW(EtalonRes!A10)</f>
        <v>10</v>
      </c>
      <c r="E33" t="s">
        <v>40</v>
      </c>
      <c r="F33" t="s">
        <v>41</v>
      </c>
      <c r="G33" t="s">
        <v>42</v>
      </c>
      <c r="H33" t="s">
        <v>43</v>
      </c>
      <c r="I33">
        <f>ROUND(ROUND(800/100,4),7)</f>
        <v>8</v>
      </c>
      <c r="J33">
        <v>0</v>
      </c>
      <c r="K33">
        <f>ROUND(ROUND(800/100,4),7)</f>
        <v>8</v>
      </c>
      <c r="O33">
        <f t="shared" si="14"/>
        <v>302.32</v>
      </c>
      <c r="P33">
        <f t="shared" si="15"/>
        <v>0</v>
      </c>
      <c r="Q33">
        <f t="shared" si="16"/>
        <v>0</v>
      </c>
      <c r="R33">
        <f t="shared" si="17"/>
        <v>0</v>
      </c>
      <c r="S33">
        <f t="shared" si="18"/>
        <v>302.32</v>
      </c>
      <c r="T33">
        <f t="shared" si="19"/>
        <v>0</v>
      </c>
      <c r="U33">
        <f t="shared" si="20"/>
        <v>35.44</v>
      </c>
      <c r="V33">
        <f t="shared" si="21"/>
        <v>0</v>
      </c>
      <c r="W33">
        <f t="shared" si="22"/>
        <v>0</v>
      </c>
      <c r="X33">
        <f t="shared" si="23"/>
        <v>269.06</v>
      </c>
      <c r="Y33">
        <f t="shared" si="24"/>
        <v>123.95</v>
      </c>
      <c r="AA33">
        <v>73147422</v>
      </c>
      <c r="AB33">
        <f t="shared" si="25"/>
        <v>37.79</v>
      </c>
      <c r="AC33">
        <f t="shared" si="26"/>
        <v>0</v>
      </c>
      <c r="AD33">
        <f t="shared" si="27"/>
        <v>0</v>
      </c>
      <c r="AE33">
        <f t="shared" si="28"/>
        <v>0</v>
      </c>
      <c r="AF33">
        <f t="shared" si="29"/>
        <v>37.79</v>
      </c>
      <c r="AG33">
        <f t="shared" si="30"/>
        <v>0</v>
      </c>
      <c r="AH33">
        <f t="shared" si="31"/>
        <v>4.43</v>
      </c>
      <c r="AI33">
        <f t="shared" si="32"/>
        <v>0</v>
      </c>
      <c r="AJ33">
        <f t="shared" si="33"/>
        <v>0</v>
      </c>
      <c r="AK33">
        <v>37.79</v>
      </c>
      <c r="AL33">
        <v>0</v>
      </c>
      <c r="AM33">
        <v>0</v>
      </c>
      <c r="AN33">
        <v>0</v>
      </c>
      <c r="AO33">
        <v>37.79</v>
      </c>
      <c r="AP33">
        <v>0</v>
      </c>
      <c r="AQ33">
        <v>4.43</v>
      </c>
      <c r="AR33">
        <v>0</v>
      </c>
      <c r="AS33">
        <v>0</v>
      </c>
      <c r="AT33">
        <v>89</v>
      </c>
      <c r="AU33">
        <v>41</v>
      </c>
      <c r="AV33">
        <v>1</v>
      </c>
      <c r="AW33">
        <v>1</v>
      </c>
      <c r="AZ33">
        <v>1</v>
      </c>
      <c r="BA33">
        <v>24.24</v>
      </c>
      <c r="BB33">
        <v>1</v>
      </c>
      <c r="BC33">
        <v>1</v>
      </c>
      <c r="BD33" t="s">
        <v>3</v>
      </c>
      <c r="BE33" t="s">
        <v>3</v>
      </c>
      <c r="BF33" t="s">
        <v>3</v>
      </c>
      <c r="BG33" t="s">
        <v>3</v>
      </c>
      <c r="BH33">
        <v>0</v>
      </c>
      <c r="BI33">
        <v>1</v>
      </c>
      <c r="BJ33" t="s">
        <v>44</v>
      </c>
      <c r="BM33">
        <v>1007</v>
      </c>
      <c r="BN33">
        <v>0</v>
      </c>
      <c r="BO33" t="s">
        <v>3</v>
      </c>
      <c r="BP33">
        <v>0</v>
      </c>
      <c r="BQ33">
        <v>2</v>
      </c>
      <c r="BR33">
        <v>0</v>
      </c>
      <c r="BS33">
        <v>24.24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89</v>
      </c>
      <c r="CA33">
        <v>41</v>
      </c>
      <c r="CB33" t="s">
        <v>3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34"/>
        <v>302.32</v>
      </c>
      <c r="CQ33">
        <f t="shared" si="35"/>
        <v>0</v>
      </c>
      <c r="CR33">
        <f t="shared" si="36"/>
        <v>0</v>
      </c>
      <c r="CS33">
        <f t="shared" si="37"/>
        <v>0</v>
      </c>
      <c r="CT33">
        <f t="shared" si="38"/>
        <v>37.79</v>
      </c>
      <c r="CU33">
        <f t="shared" si="39"/>
        <v>0</v>
      </c>
      <c r="CV33">
        <f t="shared" si="40"/>
        <v>4.43</v>
      </c>
      <c r="CW33">
        <f t="shared" si="41"/>
        <v>0</v>
      </c>
      <c r="CX33">
        <f t="shared" si="42"/>
        <v>0</v>
      </c>
      <c r="CY33">
        <f t="shared" si="43"/>
        <v>269.06479999999999</v>
      </c>
      <c r="CZ33">
        <f t="shared" si="44"/>
        <v>123.95119999999999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1005</v>
      </c>
      <c r="DV33" t="s">
        <v>43</v>
      </c>
      <c r="DW33" t="s">
        <v>43</v>
      </c>
      <c r="DX33">
        <v>100</v>
      </c>
      <c r="DZ33" t="s">
        <v>3</v>
      </c>
      <c r="EA33" t="s">
        <v>3</v>
      </c>
      <c r="EB33" t="s">
        <v>3</v>
      </c>
      <c r="EC33" t="s">
        <v>3</v>
      </c>
      <c r="EE33">
        <v>65361093</v>
      </c>
      <c r="EF33">
        <v>2</v>
      </c>
      <c r="EG33" t="s">
        <v>45</v>
      </c>
      <c r="EH33">
        <v>1</v>
      </c>
      <c r="EI33" t="s">
        <v>46</v>
      </c>
      <c r="EJ33">
        <v>1</v>
      </c>
      <c r="EK33">
        <v>1007</v>
      </c>
      <c r="EL33" t="s">
        <v>47</v>
      </c>
      <c r="EM33" t="s">
        <v>48</v>
      </c>
      <c r="EO33" t="s">
        <v>3</v>
      </c>
      <c r="EQ33">
        <v>0</v>
      </c>
      <c r="ER33">
        <v>37.79</v>
      </c>
      <c r="ES33">
        <v>0</v>
      </c>
      <c r="ET33">
        <v>0</v>
      </c>
      <c r="EU33">
        <v>0</v>
      </c>
      <c r="EV33">
        <v>37.79</v>
      </c>
      <c r="EW33">
        <v>4.43</v>
      </c>
      <c r="EX33">
        <v>0</v>
      </c>
      <c r="EY33">
        <v>0</v>
      </c>
      <c r="FQ33">
        <v>0</v>
      </c>
      <c r="FR33">
        <f t="shared" si="45"/>
        <v>0</v>
      </c>
      <c r="FS33">
        <v>0</v>
      </c>
      <c r="FX33">
        <v>89</v>
      </c>
      <c r="FY33">
        <v>41</v>
      </c>
      <c r="GA33" t="s">
        <v>3</v>
      </c>
      <c r="GD33">
        <v>1</v>
      </c>
      <c r="GF33">
        <v>-474700564</v>
      </c>
      <c r="GG33">
        <v>2</v>
      </c>
      <c r="GH33">
        <v>1</v>
      </c>
      <c r="GI33">
        <v>4</v>
      </c>
      <c r="GJ33">
        <v>0</v>
      </c>
      <c r="GK33">
        <v>0</v>
      </c>
      <c r="GL33">
        <f t="shared" si="46"/>
        <v>0</v>
      </c>
      <c r="GM33">
        <f t="shared" si="47"/>
        <v>695.33</v>
      </c>
      <c r="GN33">
        <f t="shared" si="48"/>
        <v>695.33</v>
      </c>
      <c r="GO33">
        <f t="shared" si="49"/>
        <v>0</v>
      </c>
      <c r="GP33">
        <f t="shared" si="50"/>
        <v>0</v>
      </c>
      <c r="GR33">
        <v>0</v>
      </c>
      <c r="GS33">
        <v>3</v>
      </c>
      <c r="GT33">
        <v>0</v>
      </c>
      <c r="GU33" t="s">
        <v>3</v>
      </c>
      <c r="GV33">
        <f t="shared" si="51"/>
        <v>0</v>
      </c>
      <c r="GW33">
        <v>1</v>
      </c>
      <c r="GX33">
        <f t="shared" si="52"/>
        <v>0</v>
      </c>
      <c r="HA33">
        <v>0</v>
      </c>
      <c r="HB33">
        <v>0</v>
      </c>
      <c r="HC33">
        <f t="shared" si="53"/>
        <v>0</v>
      </c>
      <c r="HE33" t="s">
        <v>3</v>
      </c>
      <c r="HF33" t="s">
        <v>3</v>
      </c>
      <c r="HI33">
        <f t="shared" si="54"/>
        <v>0</v>
      </c>
      <c r="HJ33">
        <f t="shared" si="55"/>
        <v>7328.24</v>
      </c>
      <c r="HK33">
        <f t="shared" si="56"/>
        <v>6522.13</v>
      </c>
      <c r="HL33">
        <f t="shared" si="57"/>
        <v>3004.58</v>
      </c>
      <c r="HM33" t="s">
        <v>3</v>
      </c>
      <c r="HN33" t="s">
        <v>49</v>
      </c>
      <c r="HO33" t="s">
        <v>50</v>
      </c>
      <c r="HP33" t="s">
        <v>51</v>
      </c>
      <c r="HQ33" t="s">
        <v>51</v>
      </c>
      <c r="IK33">
        <v>0</v>
      </c>
    </row>
    <row r="34" spans="1:255">
      <c r="A34" s="2">
        <v>17</v>
      </c>
      <c r="B34" s="2">
        <v>1</v>
      </c>
      <c r="C34" s="2"/>
      <c r="D34" s="2"/>
      <c r="E34" s="2" t="s">
        <v>52</v>
      </c>
      <c r="F34" s="2" t="s">
        <v>53</v>
      </c>
      <c r="G34" s="2" t="s">
        <v>54</v>
      </c>
      <c r="H34" s="2" t="s">
        <v>55</v>
      </c>
      <c r="I34" s="2">
        <f>ROUND(ROUND(215.65*0.6,2),7)</f>
        <v>129.38999999999999</v>
      </c>
      <c r="J34" s="2">
        <v>0</v>
      </c>
      <c r="K34" s="2">
        <f>ROUND(ROUND(215.65*0.6,2),7)</f>
        <v>129.38999999999999</v>
      </c>
      <c r="L34" s="2"/>
      <c r="M34" s="2"/>
      <c r="N34" s="2"/>
      <c r="O34" s="2">
        <f>0</f>
        <v>0</v>
      </c>
      <c r="P34" s="2">
        <f>0</f>
        <v>0</v>
      </c>
      <c r="Q34" s="2">
        <f>0</f>
        <v>0</v>
      </c>
      <c r="R34" s="2">
        <f>0</f>
        <v>0</v>
      </c>
      <c r="S34" s="2">
        <f>0</f>
        <v>0</v>
      </c>
      <c r="T34" s="2">
        <f>0</f>
        <v>0</v>
      </c>
      <c r="U34" s="2">
        <f>0</f>
        <v>0</v>
      </c>
      <c r="V34" s="2">
        <f>0</f>
        <v>0</v>
      </c>
      <c r="W34" s="2">
        <f>0</f>
        <v>0</v>
      </c>
      <c r="X34" s="2">
        <f>0</f>
        <v>0</v>
      </c>
      <c r="Y34" s="2">
        <f>0</f>
        <v>0</v>
      </c>
      <c r="Z34" s="2"/>
      <c r="AA34" s="2">
        <v>73147424</v>
      </c>
      <c r="AB34" s="2">
        <f>ROUND((AK34),2)</f>
        <v>42.98</v>
      </c>
      <c r="AC34" s="2">
        <f>0</f>
        <v>0</v>
      </c>
      <c r="AD34" s="2">
        <f>0</f>
        <v>0</v>
      </c>
      <c r="AE34" s="2">
        <f>0</f>
        <v>0</v>
      </c>
      <c r="AF34" s="2">
        <f>0</f>
        <v>0</v>
      </c>
      <c r="AG34" s="2">
        <f>0</f>
        <v>0</v>
      </c>
      <c r="AH34" s="2">
        <f>0</f>
        <v>0</v>
      </c>
      <c r="AI34" s="2">
        <f>0</f>
        <v>0</v>
      </c>
      <c r="AJ34" s="2">
        <f>0</f>
        <v>0</v>
      </c>
      <c r="AK34" s="2">
        <v>42.98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1</v>
      </c>
      <c r="AW34" s="2">
        <v>1</v>
      </c>
      <c r="AX34" s="2"/>
      <c r="AY34" s="2"/>
      <c r="AZ34" s="2">
        <v>1</v>
      </c>
      <c r="BA34" s="2">
        <v>1</v>
      </c>
      <c r="BB34" s="2">
        <v>1</v>
      </c>
      <c r="BC34" s="2">
        <v>1</v>
      </c>
      <c r="BD34" s="2" t="s">
        <v>3</v>
      </c>
      <c r="BE34" s="2" t="s">
        <v>3</v>
      </c>
      <c r="BF34" s="2" t="s">
        <v>3</v>
      </c>
      <c r="BG34" s="2" t="s">
        <v>3</v>
      </c>
      <c r="BH34" s="2">
        <v>0</v>
      </c>
      <c r="BI34" s="2">
        <v>1</v>
      </c>
      <c r="BJ34" s="2" t="s">
        <v>56</v>
      </c>
      <c r="BK34" s="2"/>
      <c r="BL34" s="2"/>
      <c r="BM34" s="2">
        <v>700004</v>
      </c>
      <c r="BN34" s="2">
        <v>0</v>
      </c>
      <c r="BO34" s="2" t="s">
        <v>3</v>
      </c>
      <c r="BP34" s="2">
        <v>0</v>
      </c>
      <c r="BQ34" s="2">
        <v>19</v>
      </c>
      <c r="BR34" s="2">
        <v>0</v>
      </c>
      <c r="BS34" s="2">
        <v>1</v>
      </c>
      <c r="BT34" s="2">
        <v>1</v>
      </c>
      <c r="BU34" s="2">
        <v>1</v>
      </c>
      <c r="BV34" s="2">
        <v>1</v>
      </c>
      <c r="BW34" s="2">
        <v>1</v>
      </c>
      <c r="BX34" s="2">
        <v>1</v>
      </c>
      <c r="BY34" s="2" t="s">
        <v>3</v>
      </c>
      <c r="BZ34" s="2">
        <v>0</v>
      </c>
      <c r="CA34" s="2">
        <v>0</v>
      </c>
      <c r="CB34" s="2" t="s">
        <v>3</v>
      </c>
      <c r="CC34" s="2"/>
      <c r="CD34" s="2"/>
      <c r="CE34" s="2">
        <v>0</v>
      </c>
      <c r="CF34" s="2">
        <v>0</v>
      </c>
      <c r="CG34" s="2">
        <v>0</v>
      </c>
      <c r="CH34" s="2"/>
      <c r="CI34" s="2"/>
      <c r="CJ34" s="2"/>
      <c r="CK34" s="2"/>
      <c r="CL34" s="2"/>
      <c r="CM34" s="2">
        <v>0</v>
      </c>
      <c r="CN34" s="2" t="s">
        <v>3</v>
      </c>
      <c r="CO34" s="2">
        <v>0</v>
      </c>
      <c r="CP34" s="2">
        <f>AB34*AZ34</f>
        <v>42.98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/>
      <c r="DB34" s="2"/>
      <c r="DC34" s="2" t="s">
        <v>3</v>
      </c>
      <c r="DD34" s="2" t="s">
        <v>3</v>
      </c>
      <c r="DE34" s="2" t="s">
        <v>3</v>
      </c>
      <c r="DF34" s="2" t="s">
        <v>3</v>
      </c>
      <c r="DG34" s="2" t="s">
        <v>3</v>
      </c>
      <c r="DH34" s="2" t="s">
        <v>3</v>
      </c>
      <c r="DI34" s="2" t="s">
        <v>3</v>
      </c>
      <c r="DJ34" s="2" t="s">
        <v>3</v>
      </c>
      <c r="DK34" s="2" t="s">
        <v>3</v>
      </c>
      <c r="DL34" s="2" t="s">
        <v>3</v>
      </c>
      <c r="DM34" s="2" t="s">
        <v>3</v>
      </c>
      <c r="DN34" s="2">
        <v>0</v>
      </c>
      <c r="DO34" s="2">
        <v>0</v>
      </c>
      <c r="DP34" s="2">
        <v>1</v>
      </c>
      <c r="DQ34" s="2">
        <v>1</v>
      </c>
      <c r="DR34" s="2"/>
      <c r="DS34" s="2"/>
      <c r="DT34" s="2"/>
      <c r="DU34" s="2">
        <v>1013</v>
      </c>
      <c r="DV34" s="2" t="s">
        <v>55</v>
      </c>
      <c r="DW34" s="2" t="s">
        <v>55</v>
      </c>
      <c r="DX34" s="2">
        <v>1</v>
      </c>
      <c r="DY34" s="2"/>
      <c r="DZ34" s="2" t="s">
        <v>3</v>
      </c>
      <c r="EA34" s="2" t="s">
        <v>3</v>
      </c>
      <c r="EB34" s="2" t="s">
        <v>3</v>
      </c>
      <c r="EC34" s="2" t="s">
        <v>3</v>
      </c>
      <c r="ED34" s="2"/>
      <c r="EE34" s="2">
        <v>65361301</v>
      </c>
      <c r="EF34" s="2">
        <v>19</v>
      </c>
      <c r="EG34" s="2" t="s">
        <v>57</v>
      </c>
      <c r="EH34" s="2">
        <v>106</v>
      </c>
      <c r="EI34" s="2" t="s">
        <v>57</v>
      </c>
      <c r="EJ34" s="2">
        <v>1</v>
      </c>
      <c r="EK34" s="2">
        <v>700004</v>
      </c>
      <c r="EL34" s="2" t="s">
        <v>57</v>
      </c>
      <c r="EM34" s="2" t="s">
        <v>58</v>
      </c>
      <c r="EN34" s="2"/>
      <c r="EO34" s="2" t="s">
        <v>3</v>
      </c>
      <c r="EP34" s="2"/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>
        <v>0</v>
      </c>
      <c r="FR34" s="2">
        <f t="shared" si="45"/>
        <v>0</v>
      </c>
      <c r="FS34" s="2">
        <v>0</v>
      </c>
      <c r="FT34" s="2"/>
      <c r="FU34" s="2"/>
      <c r="FV34" s="2"/>
      <c r="FW34" s="2"/>
      <c r="FX34" s="2">
        <v>0</v>
      </c>
      <c r="FY34" s="2">
        <v>0</v>
      </c>
      <c r="FZ34" s="2"/>
      <c r="GA34" s="2" t="s">
        <v>3</v>
      </c>
      <c r="GB34" s="2"/>
      <c r="GC34" s="2"/>
      <c r="GD34" s="2">
        <v>1</v>
      </c>
      <c r="GE34" s="2"/>
      <c r="GF34" s="2">
        <v>-335628643</v>
      </c>
      <c r="GG34" s="2">
        <v>2</v>
      </c>
      <c r="GH34" s="2">
        <v>1</v>
      </c>
      <c r="GI34" s="2">
        <v>-2</v>
      </c>
      <c r="GJ34" s="2">
        <v>2</v>
      </c>
      <c r="GK34" s="2">
        <v>0</v>
      </c>
      <c r="GL34" s="2">
        <f t="shared" si="46"/>
        <v>0</v>
      </c>
      <c r="GM34" s="2">
        <f>ROUND(CP34*I34,2)</f>
        <v>5561.18</v>
      </c>
      <c r="GN34" s="2">
        <f>IF(OR(BI34=0,BI34=1),ROUND(CP34*I34,2),0)</f>
        <v>5561.18</v>
      </c>
      <c r="GO34" s="2">
        <f>IF(BI34=2,ROUND(CP34*I34,2),0)</f>
        <v>0</v>
      </c>
      <c r="GP34" s="2">
        <f>IF(BI34=4,ROUND(CP34*I34,2)+GX34,0)</f>
        <v>0</v>
      </c>
      <c r="GQ34" s="2"/>
      <c r="GR34" s="2">
        <v>0</v>
      </c>
      <c r="GS34" s="2">
        <v>3</v>
      </c>
      <c r="GT34" s="2">
        <v>0</v>
      </c>
      <c r="GU34" s="2" t="s">
        <v>3</v>
      </c>
      <c r="GV34" s="2">
        <f>0</f>
        <v>0</v>
      </c>
      <c r="GW34" s="2">
        <v>1</v>
      </c>
      <c r="GX34" s="2">
        <f>0</f>
        <v>0</v>
      </c>
      <c r="GY34" s="2"/>
      <c r="GZ34" s="2"/>
      <c r="HA34" s="2">
        <v>0</v>
      </c>
      <c r="HB34" s="2">
        <v>0</v>
      </c>
      <c r="HC34" s="2">
        <v>0</v>
      </c>
      <c r="HD34" s="2">
        <f>GM34</f>
        <v>5561.18</v>
      </c>
      <c r="HE34" s="2" t="s">
        <v>3</v>
      </c>
      <c r="HF34" s="2" t="s">
        <v>3</v>
      </c>
      <c r="HG34" s="2"/>
      <c r="HH34" s="2"/>
      <c r="HI34" s="2">
        <f t="shared" si="54"/>
        <v>0</v>
      </c>
      <c r="HJ34" s="2">
        <f t="shared" si="55"/>
        <v>0</v>
      </c>
      <c r="HK34" s="2"/>
      <c r="HL34" s="2"/>
      <c r="HM34" s="2" t="s">
        <v>3</v>
      </c>
      <c r="HN34" s="2" t="s">
        <v>3</v>
      </c>
      <c r="HO34" s="2" t="s">
        <v>3</v>
      </c>
      <c r="HP34" s="2" t="s">
        <v>3</v>
      </c>
      <c r="HQ34" s="2" t="s">
        <v>3</v>
      </c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>
        <v>0</v>
      </c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pans="1:255">
      <c r="A35">
        <v>17</v>
      </c>
      <c r="B35">
        <v>1</v>
      </c>
      <c r="E35" t="s">
        <v>52</v>
      </c>
      <c r="F35" t="s">
        <v>53</v>
      </c>
      <c r="G35" t="s">
        <v>54</v>
      </c>
      <c r="H35" t="s">
        <v>55</v>
      </c>
      <c r="I35">
        <f>ROUND(ROUND(215.65*0.6,2),7)</f>
        <v>129.38999999999999</v>
      </c>
      <c r="J35">
        <v>0</v>
      </c>
      <c r="K35">
        <f>ROUND(ROUND(215.65*0.6,2),7)</f>
        <v>129.38999999999999</v>
      </c>
      <c r="O35">
        <f>0</f>
        <v>0</v>
      </c>
      <c r="P35">
        <f>0</f>
        <v>0</v>
      </c>
      <c r="Q35">
        <f>0</f>
        <v>0</v>
      </c>
      <c r="R35">
        <f>0</f>
        <v>0</v>
      </c>
      <c r="S35">
        <f>0</f>
        <v>0</v>
      </c>
      <c r="T35">
        <f>0</f>
        <v>0</v>
      </c>
      <c r="U35">
        <f>0</f>
        <v>0</v>
      </c>
      <c r="V35">
        <f>0</f>
        <v>0</v>
      </c>
      <c r="W35">
        <f>0</f>
        <v>0</v>
      </c>
      <c r="X35">
        <f>0</f>
        <v>0</v>
      </c>
      <c r="Y35">
        <f>0</f>
        <v>0</v>
      </c>
      <c r="AA35">
        <v>73147422</v>
      </c>
      <c r="AB35">
        <f>ROUND((AK35),2)</f>
        <v>42.98</v>
      </c>
      <c r="AC35">
        <f>0</f>
        <v>0</v>
      </c>
      <c r="AD35">
        <f>0</f>
        <v>0</v>
      </c>
      <c r="AE35">
        <f>0</f>
        <v>0</v>
      </c>
      <c r="AF35">
        <f>0</f>
        <v>0</v>
      </c>
      <c r="AG35">
        <f>0</f>
        <v>0</v>
      </c>
      <c r="AH35">
        <f>0</f>
        <v>0</v>
      </c>
      <c r="AI35">
        <f>0</f>
        <v>0</v>
      </c>
      <c r="AJ35">
        <f>0</f>
        <v>0</v>
      </c>
      <c r="AK35">
        <v>42.98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1</v>
      </c>
      <c r="BD35" t="s">
        <v>3</v>
      </c>
      <c r="BE35" t="s">
        <v>3</v>
      </c>
      <c r="BF35" t="s">
        <v>3</v>
      </c>
      <c r="BG35" t="s">
        <v>3</v>
      </c>
      <c r="BH35">
        <v>0</v>
      </c>
      <c r="BI35">
        <v>1</v>
      </c>
      <c r="BJ35" t="s">
        <v>56</v>
      </c>
      <c r="BM35">
        <v>700004</v>
      </c>
      <c r="BN35">
        <v>0</v>
      </c>
      <c r="BO35" t="s">
        <v>3</v>
      </c>
      <c r="BP35">
        <v>0</v>
      </c>
      <c r="BQ35">
        <v>19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0</v>
      </c>
      <c r="CA35">
        <v>0</v>
      </c>
      <c r="CB35" t="s">
        <v>3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>AB35*AZ35</f>
        <v>42.98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1013</v>
      </c>
      <c r="DV35" t="s">
        <v>55</v>
      </c>
      <c r="DW35" t="s">
        <v>55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65361301</v>
      </c>
      <c r="EF35">
        <v>19</v>
      </c>
      <c r="EG35" t="s">
        <v>57</v>
      </c>
      <c r="EH35">
        <v>106</v>
      </c>
      <c r="EI35" t="s">
        <v>57</v>
      </c>
      <c r="EJ35">
        <v>1</v>
      </c>
      <c r="EK35">
        <v>700004</v>
      </c>
      <c r="EL35" t="s">
        <v>57</v>
      </c>
      <c r="EM35" t="s">
        <v>58</v>
      </c>
      <c r="EO35" t="s">
        <v>3</v>
      </c>
      <c r="EQ35">
        <v>0</v>
      </c>
      <c r="ER35">
        <v>0</v>
      </c>
      <c r="ES35">
        <v>0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FQ35">
        <v>0</v>
      </c>
      <c r="FR35">
        <f t="shared" si="45"/>
        <v>0</v>
      </c>
      <c r="FS35">
        <v>0</v>
      </c>
      <c r="FX35">
        <v>0</v>
      </c>
      <c r="FY35">
        <v>0</v>
      </c>
      <c r="GA35" t="s">
        <v>3</v>
      </c>
      <c r="GD35">
        <v>1</v>
      </c>
      <c r="GF35">
        <v>-335628643</v>
      </c>
      <c r="GG35">
        <v>2</v>
      </c>
      <c r="GH35">
        <v>1</v>
      </c>
      <c r="GI35">
        <v>4</v>
      </c>
      <c r="GJ35">
        <v>2</v>
      </c>
      <c r="GK35">
        <v>0</v>
      </c>
      <c r="GL35">
        <f t="shared" si="46"/>
        <v>0</v>
      </c>
      <c r="GM35">
        <f>ROUND(CP35*I35,2)</f>
        <v>5561.18</v>
      </c>
      <c r="GN35">
        <f>IF(OR(BI35=0,BI35=1),ROUND(CP35*I35,2),0)</f>
        <v>5561.18</v>
      </c>
      <c r="GO35">
        <f>IF(BI35=2,ROUND(CP35*I35,2),0)</f>
        <v>0</v>
      </c>
      <c r="GP35">
        <f>IF(BI35=4,ROUND(CP35*I35,2)+GX35,0)</f>
        <v>0</v>
      </c>
      <c r="GR35">
        <v>0</v>
      </c>
      <c r="GS35">
        <v>3</v>
      </c>
      <c r="GT35">
        <v>0</v>
      </c>
      <c r="GU35" t="s">
        <v>3</v>
      </c>
      <c r="GV35">
        <f>0</f>
        <v>0</v>
      </c>
      <c r="GW35">
        <v>1</v>
      </c>
      <c r="GX35">
        <f>0</f>
        <v>0</v>
      </c>
      <c r="HA35">
        <v>0</v>
      </c>
      <c r="HB35">
        <v>0</v>
      </c>
      <c r="HC35">
        <v>0</v>
      </c>
      <c r="HD35">
        <f>GM35</f>
        <v>5561.18</v>
      </c>
      <c r="HE35" t="s">
        <v>3</v>
      </c>
      <c r="HF35" t="s">
        <v>3</v>
      </c>
      <c r="HI35">
        <f t="shared" si="54"/>
        <v>0</v>
      </c>
      <c r="HJ35">
        <f t="shared" si="55"/>
        <v>0</v>
      </c>
      <c r="HM35" t="s">
        <v>3</v>
      </c>
      <c r="HN35" t="s">
        <v>3</v>
      </c>
      <c r="HO35" t="s">
        <v>3</v>
      </c>
      <c r="HP35" t="s">
        <v>3</v>
      </c>
      <c r="HQ35" t="s">
        <v>3</v>
      </c>
      <c r="IK35">
        <v>0</v>
      </c>
    </row>
    <row r="36" spans="1:255">
      <c r="A36" s="2">
        <v>17</v>
      </c>
      <c r="B36" s="2">
        <v>1</v>
      </c>
      <c r="C36" s="2"/>
      <c r="D36" s="2"/>
      <c r="E36" s="2" t="s">
        <v>59</v>
      </c>
      <c r="F36" s="2" t="s">
        <v>60</v>
      </c>
      <c r="G36" s="2" t="s">
        <v>61</v>
      </c>
      <c r="H36" s="2" t="s">
        <v>55</v>
      </c>
      <c r="I36" s="2">
        <f>ROUND(ROUND(I34,4),7)</f>
        <v>129.38999999999999</v>
      </c>
      <c r="J36" s="2">
        <v>0</v>
      </c>
      <c r="K36" s="2">
        <f>ROUND(ROUND(I34,4),7)</f>
        <v>129.38999999999999</v>
      </c>
      <c r="L36" s="2"/>
      <c r="M36" s="2"/>
      <c r="N36" s="2"/>
      <c r="O36" s="2">
        <f>0</f>
        <v>0</v>
      </c>
      <c r="P36" s="2">
        <f>0</f>
        <v>0</v>
      </c>
      <c r="Q36" s="2">
        <f>0</f>
        <v>0</v>
      </c>
      <c r="R36" s="2">
        <f>0</f>
        <v>0</v>
      </c>
      <c r="S36" s="2">
        <f>0</f>
        <v>0</v>
      </c>
      <c r="T36" s="2">
        <f>0</f>
        <v>0</v>
      </c>
      <c r="U36" s="2">
        <f>0</f>
        <v>0</v>
      </c>
      <c r="V36" s="2">
        <f>0</f>
        <v>0</v>
      </c>
      <c r="W36" s="2">
        <f>0</f>
        <v>0</v>
      </c>
      <c r="X36" s="2">
        <f>0</f>
        <v>0</v>
      </c>
      <c r="Y36" s="2">
        <f>0</f>
        <v>0</v>
      </c>
      <c r="Z36" s="2"/>
      <c r="AA36" s="2">
        <v>73147424</v>
      </c>
      <c r="AB36" s="2">
        <f>ROUND((AK36),2)</f>
        <v>6.69</v>
      </c>
      <c r="AC36" s="2">
        <f>0</f>
        <v>0</v>
      </c>
      <c r="AD36" s="2">
        <f>0</f>
        <v>0</v>
      </c>
      <c r="AE36" s="2">
        <f>0</f>
        <v>0</v>
      </c>
      <c r="AF36" s="2">
        <f>0</f>
        <v>0</v>
      </c>
      <c r="AG36" s="2">
        <f>0</f>
        <v>0</v>
      </c>
      <c r="AH36" s="2">
        <f>0</f>
        <v>0</v>
      </c>
      <c r="AI36" s="2">
        <f>0</f>
        <v>0</v>
      </c>
      <c r="AJ36" s="2">
        <f>0</f>
        <v>0</v>
      </c>
      <c r="AK36" s="2">
        <v>6.69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1</v>
      </c>
      <c r="AW36" s="2">
        <v>1</v>
      </c>
      <c r="AX36" s="2"/>
      <c r="AY36" s="2"/>
      <c r="AZ36" s="2">
        <v>1</v>
      </c>
      <c r="BA36" s="2">
        <v>1</v>
      </c>
      <c r="BB36" s="2">
        <v>1</v>
      </c>
      <c r="BC36" s="2">
        <v>1</v>
      </c>
      <c r="BD36" s="2" t="s">
        <v>3</v>
      </c>
      <c r="BE36" s="2" t="s">
        <v>3</v>
      </c>
      <c r="BF36" s="2" t="s">
        <v>3</v>
      </c>
      <c r="BG36" s="2" t="s">
        <v>3</v>
      </c>
      <c r="BH36" s="2">
        <v>0</v>
      </c>
      <c r="BI36" s="2">
        <v>1</v>
      </c>
      <c r="BJ36" s="2" t="s">
        <v>62</v>
      </c>
      <c r="BK36" s="2"/>
      <c r="BL36" s="2"/>
      <c r="BM36" s="2">
        <v>700005</v>
      </c>
      <c r="BN36" s="2">
        <v>0</v>
      </c>
      <c r="BO36" s="2" t="s">
        <v>3</v>
      </c>
      <c r="BP36" s="2">
        <v>0</v>
      </c>
      <c r="BQ36" s="2">
        <v>10</v>
      </c>
      <c r="BR36" s="2">
        <v>0</v>
      </c>
      <c r="BS36" s="2">
        <v>1</v>
      </c>
      <c r="BT36" s="2">
        <v>1</v>
      </c>
      <c r="BU36" s="2">
        <v>1</v>
      </c>
      <c r="BV36" s="2">
        <v>1</v>
      </c>
      <c r="BW36" s="2">
        <v>1</v>
      </c>
      <c r="BX36" s="2">
        <v>1</v>
      </c>
      <c r="BY36" s="2" t="s">
        <v>3</v>
      </c>
      <c r="BZ36" s="2">
        <v>0</v>
      </c>
      <c r="CA36" s="2">
        <v>0</v>
      </c>
      <c r="CB36" s="2" t="s">
        <v>3</v>
      </c>
      <c r="CC36" s="2"/>
      <c r="CD36" s="2"/>
      <c r="CE36" s="2">
        <v>0</v>
      </c>
      <c r="CF36" s="2">
        <v>0</v>
      </c>
      <c r="CG36" s="2">
        <v>0</v>
      </c>
      <c r="CH36" s="2"/>
      <c r="CI36" s="2"/>
      <c r="CJ36" s="2"/>
      <c r="CK36" s="2"/>
      <c r="CL36" s="2"/>
      <c r="CM36" s="2">
        <v>0</v>
      </c>
      <c r="CN36" s="2" t="s">
        <v>3</v>
      </c>
      <c r="CO36" s="2">
        <v>0</v>
      </c>
      <c r="CP36" s="2">
        <f>AB36*AZ36</f>
        <v>6.69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/>
      <c r="DB36" s="2"/>
      <c r="DC36" s="2" t="s">
        <v>3</v>
      </c>
      <c r="DD36" s="2" t="s">
        <v>3</v>
      </c>
      <c r="DE36" s="2" t="s">
        <v>3</v>
      </c>
      <c r="DF36" s="2" t="s">
        <v>3</v>
      </c>
      <c r="DG36" s="2" t="s">
        <v>3</v>
      </c>
      <c r="DH36" s="2" t="s">
        <v>3</v>
      </c>
      <c r="DI36" s="2" t="s">
        <v>3</v>
      </c>
      <c r="DJ36" s="2" t="s">
        <v>3</v>
      </c>
      <c r="DK36" s="2" t="s">
        <v>3</v>
      </c>
      <c r="DL36" s="2" t="s">
        <v>3</v>
      </c>
      <c r="DM36" s="2" t="s">
        <v>3</v>
      </c>
      <c r="DN36" s="2">
        <v>0</v>
      </c>
      <c r="DO36" s="2">
        <v>0</v>
      </c>
      <c r="DP36" s="2">
        <v>1</v>
      </c>
      <c r="DQ36" s="2">
        <v>1</v>
      </c>
      <c r="DR36" s="2"/>
      <c r="DS36" s="2"/>
      <c r="DT36" s="2"/>
      <c r="DU36" s="2">
        <v>1013</v>
      </c>
      <c r="DV36" s="2" t="s">
        <v>55</v>
      </c>
      <c r="DW36" s="2" t="s">
        <v>55</v>
      </c>
      <c r="DX36" s="2">
        <v>1</v>
      </c>
      <c r="DY36" s="2"/>
      <c r="DZ36" s="2" t="s">
        <v>3</v>
      </c>
      <c r="EA36" s="2" t="s">
        <v>3</v>
      </c>
      <c r="EB36" s="2" t="s">
        <v>3</v>
      </c>
      <c r="EC36" s="2" t="s">
        <v>3</v>
      </c>
      <c r="ED36" s="2"/>
      <c r="EE36" s="2">
        <v>65361304</v>
      </c>
      <c r="EF36" s="2">
        <v>10</v>
      </c>
      <c r="EG36" s="2" t="s">
        <v>63</v>
      </c>
      <c r="EH36" s="2">
        <v>107</v>
      </c>
      <c r="EI36" s="2" t="s">
        <v>64</v>
      </c>
      <c r="EJ36" s="2">
        <v>1</v>
      </c>
      <c r="EK36" s="2">
        <v>700005</v>
      </c>
      <c r="EL36" s="2" t="s">
        <v>64</v>
      </c>
      <c r="EM36" s="2" t="s">
        <v>65</v>
      </c>
      <c r="EN36" s="2"/>
      <c r="EO36" s="2" t="s">
        <v>3</v>
      </c>
      <c r="EP36" s="2"/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>
        <v>0</v>
      </c>
      <c r="FR36" s="2">
        <f t="shared" si="45"/>
        <v>0</v>
      </c>
      <c r="FS36" s="2">
        <v>0</v>
      </c>
      <c r="FT36" s="2"/>
      <c r="FU36" s="2"/>
      <c r="FV36" s="2"/>
      <c r="FW36" s="2"/>
      <c r="FX36" s="2">
        <v>0</v>
      </c>
      <c r="FY36" s="2">
        <v>0</v>
      </c>
      <c r="FZ36" s="2"/>
      <c r="GA36" s="2" t="s">
        <v>3</v>
      </c>
      <c r="GB36" s="2"/>
      <c r="GC36" s="2"/>
      <c r="GD36" s="2">
        <v>1</v>
      </c>
      <c r="GE36" s="2"/>
      <c r="GF36" s="2">
        <v>-2065004274</v>
      </c>
      <c r="GG36" s="2">
        <v>2</v>
      </c>
      <c r="GH36" s="2">
        <v>1</v>
      </c>
      <c r="GI36" s="2">
        <v>-2</v>
      </c>
      <c r="GJ36" s="2">
        <v>2</v>
      </c>
      <c r="GK36" s="2">
        <v>0</v>
      </c>
      <c r="GL36" s="2">
        <f t="shared" si="46"/>
        <v>0</v>
      </c>
      <c r="GM36" s="2">
        <f>ROUND(CP36*I36,2)</f>
        <v>865.62</v>
      </c>
      <c r="GN36" s="2">
        <f>IF(OR(BI36=0,BI36=1),ROUND(CP36*I36,2),0)</f>
        <v>865.62</v>
      </c>
      <c r="GO36" s="2">
        <f>IF(BI36=2,ROUND(CP36*I36,2),0)</f>
        <v>0</v>
      </c>
      <c r="GP36" s="2">
        <f>IF(BI36=4,ROUND(CP36*I36,2)+GX36,0)</f>
        <v>0</v>
      </c>
      <c r="GQ36" s="2"/>
      <c r="GR36" s="2">
        <v>0</v>
      </c>
      <c r="GS36" s="2">
        <v>3</v>
      </c>
      <c r="GT36" s="2">
        <v>0</v>
      </c>
      <c r="GU36" s="2" t="s">
        <v>3</v>
      </c>
      <c r="GV36" s="2">
        <f>0</f>
        <v>0</v>
      </c>
      <c r="GW36" s="2">
        <v>1</v>
      </c>
      <c r="GX36" s="2">
        <f>0</f>
        <v>0</v>
      </c>
      <c r="GY36" s="2"/>
      <c r="GZ36" s="2"/>
      <c r="HA36" s="2">
        <v>0</v>
      </c>
      <c r="HB36" s="2">
        <v>0</v>
      </c>
      <c r="HC36" s="2">
        <v>0</v>
      </c>
      <c r="HD36" s="2">
        <f>GM36</f>
        <v>865.62</v>
      </c>
      <c r="HE36" s="2" t="s">
        <v>3</v>
      </c>
      <c r="HF36" s="2" t="s">
        <v>3</v>
      </c>
      <c r="HG36" s="2"/>
      <c r="HH36" s="2"/>
      <c r="HI36" s="2">
        <f t="shared" si="54"/>
        <v>0</v>
      </c>
      <c r="HJ36" s="2">
        <f t="shared" si="55"/>
        <v>0</v>
      </c>
      <c r="HK36" s="2"/>
      <c r="HL36" s="2"/>
      <c r="HM36" s="2" t="s">
        <v>3</v>
      </c>
      <c r="HN36" s="2" t="s">
        <v>3</v>
      </c>
      <c r="HO36" s="2" t="s">
        <v>3</v>
      </c>
      <c r="HP36" s="2" t="s">
        <v>3</v>
      </c>
      <c r="HQ36" s="2" t="s">
        <v>3</v>
      </c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>
        <v>0</v>
      </c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pans="1:255">
      <c r="A37">
        <v>17</v>
      </c>
      <c r="B37">
        <v>1</v>
      </c>
      <c r="E37" t="s">
        <v>59</v>
      </c>
      <c r="F37" t="s">
        <v>60</v>
      </c>
      <c r="G37" t="s">
        <v>61</v>
      </c>
      <c r="H37" t="s">
        <v>55</v>
      </c>
      <c r="I37">
        <f>ROUND(ROUND(I35,4),7)</f>
        <v>129.38999999999999</v>
      </c>
      <c r="J37">
        <v>0</v>
      </c>
      <c r="K37">
        <f>ROUND(ROUND(I35,4),7)</f>
        <v>129.38999999999999</v>
      </c>
      <c r="O37">
        <f>0</f>
        <v>0</v>
      </c>
      <c r="P37">
        <f>0</f>
        <v>0</v>
      </c>
      <c r="Q37">
        <f>0</f>
        <v>0</v>
      </c>
      <c r="R37">
        <f>0</f>
        <v>0</v>
      </c>
      <c r="S37">
        <f>0</f>
        <v>0</v>
      </c>
      <c r="T37">
        <f>0</f>
        <v>0</v>
      </c>
      <c r="U37">
        <f>0</f>
        <v>0</v>
      </c>
      <c r="V37">
        <f>0</f>
        <v>0</v>
      </c>
      <c r="W37">
        <f>0</f>
        <v>0</v>
      </c>
      <c r="X37">
        <f>0</f>
        <v>0</v>
      </c>
      <c r="Y37">
        <f>0</f>
        <v>0</v>
      </c>
      <c r="AA37">
        <v>73147422</v>
      </c>
      <c r="AB37">
        <f>ROUND((AK37),2)</f>
        <v>6.69</v>
      </c>
      <c r="AC37">
        <f>0</f>
        <v>0</v>
      </c>
      <c r="AD37">
        <f>0</f>
        <v>0</v>
      </c>
      <c r="AE37">
        <f>0</f>
        <v>0</v>
      </c>
      <c r="AF37">
        <f>0</f>
        <v>0</v>
      </c>
      <c r="AG37">
        <f>0</f>
        <v>0</v>
      </c>
      <c r="AH37">
        <f>0</f>
        <v>0</v>
      </c>
      <c r="AI37">
        <f>0</f>
        <v>0</v>
      </c>
      <c r="AJ37">
        <f>0</f>
        <v>0</v>
      </c>
      <c r="AK37">
        <v>6.69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1</v>
      </c>
      <c r="BD37" t="s">
        <v>3</v>
      </c>
      <c r="BE37" t="s">
        <v>3</v>
      </c>
      <c r="BF37" t="s">
        <v>3</v>
      </c>
      <c r="BG37" t="s">
        <v>3</v>
      </c>
      <c r="BH37">
        <v>0</v>
      </c>
      <c r="BI37">
        <v>1</v>
      </c>
      <c r="BJ37" t="s">
        <v>62</v>
      </c>
      <c r="BM37">
        <v>700005</v>
      </c>
      <c r="BN37">
        <v>0</v>
      </c>
      <c r="BO37" t="s">
        <v>3</v>
      </c>
      <c r="BP37">
        <v>0</v>
      </c>
      <c r="BQ37">
        <v>10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0</v>
      </c>
      <c r="CA37">
        <v>0</v>
      </c>
      <c r="CB37" t="s">
        <v>3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>AB37*AZ37</f>
        <v>6.69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1013</v>
      </c>
      <c r="DV37" t="s">
        <v>55</v>
      </c>
      <c r="DW37" t="s">
        <v>55</v>
      </c>
      <c r="DX37">
        <v>1</v>
      </c>
      <c r="DZ37" t="s">
        <v>3</v>
      </c>
      <c r="EA37" t="s">
        <v>3</v>
      </c>
      <c r="EB37" t="s">
        <v>3</v>
      </c>
      <c r="EC37" t="s">
        <v>3</v>
      </c>
      <c r="EE37">
        <v>65361304</v>
      </c>
      <c r="EF37">
        <v>10</v>
      </c>
      <c r="EG37" t="s">
        <v>63</v>
      </c>
      <c r="EH37">
        <v>107</v>
      </c>
      <c r="EI37" t="s">
        <v>64</v>
      </c>
      <c r="EJ37">
        <v>1</v>
      </c>
      <c r="EK37">
        <v>700005</v>
      </c>
      <c r="EL37" t="s">
        <v>64</v>
      </c>
      <c r="EM37" t="s">
        <v>65</v>
      </c>
      <c r="EO37" t="s">
        <v>3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FQ37">
        <v>0</v>
      </c>
      <c r="FR37">
        <f t="shared" si="45"/>
        <v>0</v>
      </c>
      <c r="FS37">
        <v>0</v>
      </c>
      <c r="FX37">
        <v>0</v>
      </c>
      <c r="FY37">
        <v>0</v>
      </c>
      <c r="GA37" t="s">
        <v>3</v>
      </c>
      <c r="GD37">
        <v>1</v>
      </c>
      <c r="GF37">
        <v>-2065004274</v>
      </c>
      <c r="GG37">
        <v>2</v>
      </c>
      <c r="GH37">
        <v>1</v>
      </c>
      <c r="GI37">
        <v>4</v>
      </c>
      <c r="GJ37">
        <v>2</v>
      </c>
      <c r="GK37">
        <v>0</v>
      </c>
      <c r="GL37">
        <f t="shared" si="46"/>
        <v>0</v>
      </c>
      <c r="GM37">
        <f>ROUND(CP37*I37,2)</f>
        <v>865.62</v>
      </c>
      <c r="GN37">
        <f>IF(OR(BI37=0,BI37=1),ROUND(CP37*I37,2),0)</f>
        <v>865.62</v>
      </c>
      <c r="GO37">
        <f>IF(BI37=2,ROUND(CP37*I37,2),0)</f>
        <v>0</v>
      </c>
      <c r="GP37">
        <f>IF(BI37=4,ROUND(CP37*I37,2)+GX37,0)</f>
        <v>0</v>
      </c>
      <c r="GR37">
        <v>0</v>
      </c>
      <c r="GS37">
        <v>3</v>
      </c>
      <c r="GT37">
        <v>0</v>
      </c>
      <c r="GU37" t="s">
        <v>3</v>
      </c>
      <c r="GV37">
        <f>0</f>
        <v>0</v>
      </c>
      <c r="GW37">
        <v>1</v>
      </c>
      <c r="GX37">
        <f>0</f>
        <v>0</v>
      </c>
      <c r="HA37">
        <v>0</v>
      </c>
      <c r="HB37">
        <v>0</v>
      </c>
      <c r="HC37">
        <v>0</v>
      </c>
      <c r="HD37">
        <f>GM37</f>
        <v>865.62</v>
      </c>
      <c r="HE37" t="s">
        <v>3</v>
      </c>
      <c r="HF37" t="s">
        <v>3</v>
      </c>
      <c r="HI37">
        <f t="shared" si="54"/>
        <v>0</v>
      </c>
      <c r="HJ37">
        <f t="shared" si="55"/>
        <v>0</v>
      </c>
      <c r="HM37" t="s">
        <v>3</v>
      </c>
      <c r="HN37" t="s">
        <v>3</v>
      </c>
      <c r="HO37" t="s">
        <v>3</v>
      </c>
      <c r="HP37" t="s">
        <v>3</v>
      </c>
      <c r="HQ37" t="s">
        <v>3</v>
      </c>
      <c r="IK37">
        <v>0</v>
      </c>
    </row>
    <row r="38" spans="1:255">
      <c r="A38" s="2">
        <v>17</v>
      </c>
      <c r="B38" s="2">
        <v>1</v>
      </c>
      <c r="C38" s="2">
        <f>ROW(SmtRes!A13)</f>
        <v>13</v>
      </c>
      <c r="D38" s="2">
        <f>ROW(EtalonRes!A13)</f>
        <v>13</v>
      </c>
      <c r="E38" s="2" t="s">
        <v>66</v>
      </c>
      <c r="F38" s="2" t="s">
        <v>67</v>
      </c>
      <c r="G38" s="2" t="s">
        <v>68</v>
      </c>
      <c r="H38" s="2" t="s">
        <v>21</v>
      </c>
      <c r="I38" s="2">
        <f>ROUND(((4.69*14)-32.4)/2*0,7)</f>
        <v>0</v>
      </c>
      <c r="J38" s="2">
        <v>0</v>
      </c>
      <c r="K38" s="2">
        <f>ROUND(((4.69*14)-32.4)/2*0,7)</f>
        <v>0</v>
      </c>
      <c r="L38" s="2"/>
      <c r="M38" s="2"/>
      <c r="N38" s="2"/>
      <c r="O38" s="2">
        <f t="shared" ref="O38:O53" si="58">ROUND(CP38,2)</f>
        <v>0</v>
      </c>
      <c r="P38" s="2">
        <f t="shared" ref="P38:P53" si="59">ROUND(CQ38*I38,2)</f>
        <v>0</v>
      </c>
      <c r="Q38" s="2">
        <f t="shared" ref="Q38:Q53" si="60">ROUND(CR38*I38,2)</f>
        <v>0</v>
      </c>
      <c r="R38" s="2">
        <f t="shared" ref="R38:R53" si="61">ROUND(CS38*I38,2)</f>
        <v>0</v>
      </c>
      <c r="S38" s="2">
        <f t="shared" ref="S38:S53" si="62">ROUND(CT38*I38,2)</f>
        <v>0</v>
      </c>
      <c r="T38" s="2">
        <f t="shared" ref="T38:T53" si="63">ROUND(CU38*I38,2)</f>
        <v>0</v>
      </c>
      <c r="U38" s="2">
        <f t="shared" ref="U38:U53" si="64">CV38*I38</f>
        <v>0</v>
      </c>
      <c r="V38" s="2">
        <f t="shared" ref="V38:V53" si="65">CW38*I38</f>
        <v>0</v>
      </c>
      <c r="W38" s="2">
        <f t="shared" ref="W38:W53" si="66">ROUND(CX38*I38,2)</f>
        <v>0</v>
      </c>
      <c r="X38" s="2">
        <f t="shared" ref="X38:X53" si="67">ROUND(CY38,2)</f>
        <v>0</v>
      </c>
      <c r="Y38" s="2">
        <f t="shared" ref="Y38:Y53" si="68">ROUND(CZ38,2)</f>
        <v>0</v>
      </c>
      <c r="Z38" s="2"/>
      <c r="AA38" s="2">
        <v>73147424</v>
      </c>
      <c r="AB38" s="2">
        <f t="shared" ref="AB38:AB53" si="69">ROUND((AC38+AD38+AF38),2)</f>
        <v>323.51</v>
      </c>
      <c r="AC38" s="2">
        <f t="shared" ref="AC38:AC53" si="70">ROUND((ES38),2)</f>
        <v>0</v>
      </c>
      <c r="AD38" s="2">
        <f t="shared" ref="AD38:AD53" si="71">ROUND((((ET38)-(EU38))+AE38),2)</f>
        <v>295.94</v>
      </c>
      <c r="AE38" s="2">
        <f t="shared" ref="AE38:AE53" si="72">ROUND((EU38),2)</f>
        <v>17.170000000000002</v>
      </c>
      <c r="AF38" s="2">
        <f t="shared" ref="AF38:AF53" si="73">ROUND((EV38),2)</f>
        <v>27.57</v>
      </c>
      <c r="AG38" s="2">
        <f t="shared" ref="AG38:AG53" si="74">ROUND((AP38),2)</f>
        <v>0</v>
      </c>
      <c r="AH38" s="2">
        <f t="shared" ref="AH38:AH53" si="75">(EW38)</f>
        <v>3.04</v>
      </c>
      <c r="AI38" s="2">
        <f t="shared" ref="AI38:AI53" si="76">(EX38)</f>
        <v>1.48</v>
      </c>
      <c r="AJ38" s="2">
        <f t="shared" ref="AJ38:AJ53" si="77">(AS38)</f>
        <v>0</v>
      </c>
      <c r="AK38" s="2">
        <v>323.51</v>
      </c>
      <c r="AL38" s="2">
        <v>0</v>
      </c>
      <c r="AM38" s="2">
        <v>295.94</v>
      </c>
      <c r="AN38" s="2">
        <v>17.170000000000002</v>
      </c>
      <c r="AO38" s="2">
        <v>27.57</v>
      </c>
      <c r="AP38" s="2">
        <v>0</v>
      </c>
      <c r="AQ38" s="2">
        <v>3.04</v>
      </c>
      <c r="AR38" s="2">
        <v>1.48</v>
      </c>
      <c r="AS38" s="2">
        <v>0</v>
      </c>
      <c r="AT38" s="2">
        <v>102</v>
      </c>
      <c r="AU38" s="2">
        <v>54</v>
      </c>
      <c r="AV38" s="2">
        <v>1</v>
      </c>
      <c r="AW38" s="2">
        <v>1</v>
      </c>
      <c r="AX38" s="2"/>
      <c r="AY38" s="2"/>
      <c r="AZ38" s="2">
        <v>1</v>
      </c>
      <c r="BA38" s="2">
        <v>1</v>
      </c>
      <c r="BB38" s="2">
        <v>1</v>
      </c>
      <c r="BC38" s="2">
        <v>1</v>
      </c>
      <c r="BD38" s="2" t="s">
        <v>3</v>
      </c>
      <c r="BE38" s="2" t="s">
        <v>3</v>
      </c>
      <c r="BF38" s="2" t="s">
        <v>3</v>
      </c>
      <c r="BG38" s="2" t="s">
        <v>3</v>
      </c>
      <c r="BH38" s="2">
        <v>0</v>
      </c>
      <c r="BI38" s="2">
        <v>1</v>
      </c>
      <c r="BJ38" s="2" t="s">
        <v>69</v>
      </c>
      <c r="BK38" s="2"/>
      <c r="BL38" s="2"/>
      <c r="BM38" s="2">
        <v>68001</v>
      </c>
      <c r="BN38" s="2">
        <v>0</v>
      </c>
      <c r="BO38" s="2" t="s">
        <v>3</v>
      </c>
      <c r="BP38" s="2">
        <v>0</v>
      </c>
      <c r="BQ38" s="2">
        <v>6</v>
      </c>
      <c r="BR38" s="2">
        <v>0</v>
      </c>
      <c r="BS38" s="2">
        <v>1</v>
      </c>
      <c r="BT38" s="2">
        <v>1</v>
      </c>
      <c r="BU38" s="2">
        <v>1</v>
      </c>
      <c r="BV38" s="2">
        <v>1</v>
      </c>
      <c r="BW38" s="2">
        <v>1</v>
      </c>
      <c r="BX38" s="2">
        <v>1</v>
      </c>
      <c r="BY38" s="2" t="s">
        <v>3</v>
      </c>
      <c r="BZ38" s="2">
        <v>102</v>
      </c>
      <c r="CA38" s="2">
        <v>54</v>
      </c>
      <c r="CB38" s="2" t="s">
        <v>3</v>
      </c>
      <c r="CC38" s="2"/>
      <c r="CD38" s="2"/>
      <c r="CE38" s="2">
        <v>0</v>
      </c>
      <c r="CF38" s="2">
        <v>0</v>
      </c>
      <c r="CG38" s="2">
        <v>0</v>
      </c>
      <c r="CH38" s="2"/>
      <c r="CI38" s="2"/>
      <c r="CJ38" s="2"/>
      <c r="CK38" s="2"/>
      <c r="CL38" s="2"/>
      <c r="CM38" s="2">
        <v>0</v>
      </c>
      <c r="CN38" s="2" t="s">
        <v>3</v>
      </c>
      <c r="CO38" s="2">
        <v>0</v>
      </c>
      <c r="CP38" s="2">
        <f t="shared" ref="CP38:CP53" si="78">(P38+Q38+S38)</f>
        <v>0</v>
      </c>
      <c r="CQ38" s="2">
        <f t="shared" ref="CQ38:CQ53" si="79">AC38*BC38</f>
        <v>0</v>
      </c>
      <c r="CR38" s="2">
        <f t="shared" ref="CR38:CR53" si="80">AD38*BB38</f>
        <v>295.94</v>
      </c>
      <c r="CS38" s="2">
        <f t="shared" ref="CS38:CS53" si="81">AE38</f>
        <v>17.170000000000002</v>
      </c>
      <c r="CT38" s="2">
        <f t="shared" ref="CT38:CT53" si="82">AF38</f>
        <v>27.57</v>
      </c>
      <c r="CU38" s="2">
        <f t="shared" ref="CU38:CU53" si="83">AG38</f>
        <v>0</v>
      </c>
      <c r="CV38" s="2">
        <f t="shared" ref="CV38:CV53" si="84">AH38</f>
        <v>3.04</v>
      </c>
      <c r="CW38" s="2">
        <f t="shared" ref="CW38:CW53" si="85">AI38</f>
        <v>1.48</v>
      </c>
      <c r="CX38" s="2">
        <f t="shared" ref="CX38:CX53" si="86">AJ38</f>
        <v>0</v>
      </c>
      <c r="CY38" s="2">
        <f t="shared" ref="CY38:CY53" si="87">(((S38+R38)*AT38)/100)</f>
        <v>0</v>
      </c>
      <c r="CZ38" s="2">
        <f t="shared" ref="CZ38:CZ53" si="88">(((S38+R38)*AU38)/100)</f>
        <v>0</v>
      </c>
      <c r="DA38" s="2"/>
      <c r="DB38" s="2"/>
      <c r="DC38" s="2" t="s">
        <v>3</v>
      </c>
      <c r="DD38" s="2" t="s">
        <v>3</v>
      </c>
      <c r="DE38" s="2" t="s">
        <v>3</v>
      </c>
      <c r="DF38" s="2" t="s">
        <v>3</v>
      </c>
      <c r="DG38" s="2" t="s">
        <v>3</v>
      </c>
      <c r="DH38" s="2" t="s">
        <v>3</v>
      </c>
      <c r="DI38" s="2" t="s">
        <v>3</v>
      </c>
      <c r="DJ38" s="2" t="s">
        <v>3</v>
      </c>
      <c r="DK38" s="2" t="s">
        <v>3</v>
      </c>
      <c r="DL38" s="2" t="s">
        <v>3</v>
      </c>
      <c r="DM38" s="2" t="s">
        <v>3</v>
      </c>
      <c r="DN38" s="2">
        <v>0</v>
      </c>
      <c r="DO38" s="2">
        <v>0</v>
      </c>
      <c r="DP38" s="2">
        <v>1</v>
      </c>
      <c r="DQ38" s="2">
        <v>1</v>
      </c>
      <c r="DR38" s="2"/>
      <c r="DS38" s="2"/>
      <c r="DT38" s="2"/>
      <c r="DU38" s="2">
        <v>1007</v>
      </c>
      <c r="DV38" s="2" t="s">
        <v>21</v>
      </c>
      <c r="DW38" s="2" t="s">
        <v>21</v>
      </c>
      <c r="DX38" s="2">
        <v>1</v>
      </c>
      <c r="DY38" s="2"/>
      <c r="DZ38" s="2" t="s">
        <v>3</v>
      </c>
      <c r="EA38" s="2" t="s">
        <v>3</v>
      </c>
      <c r="EB38" s="2" t="s">
        <v>3</v>
      </c>
      <c r="EC38" s="2" t="s">
        <v>3</v>
      </c>
      <c r="ED38" s="2"/>
      <c r="EE38" s="2">
        <v>65361239</v>
      </c>
      <c r="EF38" s="2">
        <v>6</v>
      </c>
      <c r="EG38" s="2" t="s">
        <v>23</v>
      </c>
      <c r="EH38" s="2">
        <v>102</v>
      </c>
      <c r="EI38" s="2" t="s">
        <v>24</v>
      </c>
      <c r="EJ38" s="2">
        <v>1</v>
      </c>
      <c r="EK38" s="2">
        <v>68001</v>
      </c>
      <c r="EL38" s="2" t="s">
        <v>24</v>
      </c>
      <c r="EM38" s="2" t="s">
        <v>25</v>
      </c>
      <c r="EN38" s="2"/>
      <c r="EO38" s="2" t="s">
        <v>3</v>
      </c>
      <c r="EP38" s="2"/>
      <c r="EQ38" s="2">
        <v>0</v>
      </c>
      <c r="ER38" s="2">
        <v>323.51</v>
      </c>
      <c r="ES38" s="2">
        <v>0</v>
      </c>
      <c r="ET38" s="2">
        <v>295.94</v>
      </c>
      <c r="EU38" s="2">
        <v>17.170000000000002</v>
      </c>
      <c r="EV38" s="2">
        <v>27.57</v>
      </c>
      <c r="EW38" s="2">
        <v>3.04</v>
      </c>
      <c r="EX38" s="2">
        <v>1.48</v>
      </c>
      <c r="EY38" s="2">
        <v>0</v>
      </c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>
        <v>0</v>
      </c>
      <c r="FR38" s="2">
        <f t="shared" si="45"/>
        <v>0</v>
      </c>
      <c r="FS38" s="2">
        <v>0</v>
      </c>
      <c r="FT38" s="2"/>
      <c r="FU38" s="2"/>
      <c r="FV38" s="2"/>
      <c r="FW38" s="2"/>
      <c r="FX38" s="2">
        <v>102</v>
      </c>
      <c r="FY38" s="2">
        <v>54</v>
      </c>
      <c r="FZ38" s="2"/>
      <c r="GA38" s="2" t="s">
        <v>3</v>
      </c>
      <c r="GB38" s="2"/>
      <c r="GC38" s="2"/>
      <c r="GD38" s="2">
        <v>1</v>
      </c>
      <c r="GE38" s="2"/>
      <c r="GF38" s="2">
        <v>-1678251927</v>
      </c>
      <c r="GG38" s="2">
        <v>2</v>
      </c>
      <c r="GH38" s="2">
        <v>1</v>
      </c>
      <c r="GI38" s="2">
        <v>-2</v>
      </c>
      <c r="GJ38" s="2">
        <v>0</v>
      </c>
      <c r="GK38" s="2">
        <v>0</v>
      </c>
      <c r="GL38" s="2">
        <f t="shared" si="46"/>
        <v>0</v>
      </c>
      <c r="GM38" s="2">
        <f t="shared" ref="GM38:GM53" si="89">ROUND(O38+X38+Y38,2)+GX38</f>
        <v>0</v>
      </c>
      <c r="GN38" s="2">
        <f t="shared" ref="GN38:GN53" si="90">IF(OR(BI38=0,BI38=1),ROUND(O38+X38+Y38,2),0)</f>
        <v>0</v>
      </c>
      <c r="GO38" s="2">
        <f t="shared" ref="GO38:GO53" si="91">IF(BI38=2,ROUND(O38+X38+Y38,2),0)</f>
        <v>0</v>
      </c>
      <c r="GP38" s="2">
        <f t="shared" ref="GP38:GP53" si="92">IF(BI38=4,ROUND(O38+X38+Y38,2)+GX38,0)</f>
        <v>0</v>
      </c>
      <c r="GQ38" s="2"/>
      <c r="GR38" s="2">
        <v>0</v>
      </c>
      <c r="GS38" s="2">
        <v>0</v>
      </c>
      <c r="GT38" s="2">
        <v>0</v>
      </c>
      <c r="GU38" s="2" t="s">
        <v>3</v>
      </c>
      <c r="GV38" s="2">
        <f t="shared" ref="GV38:GV53" si="93">ROUND((GT38),2)</f>
        <v>0</v>
      </c>
      <c r="GW38" s="2">
        <v>1</v>
      </c>
      <c r="GX38" s="2">
        <f t="shared" ref="GX38:GX53" si="94">ROUND(HC38*I38,2)</f>
        <v>0</v>
      </c>
      <c r="GY38" s="2"/>
      <c r="GZ38" s="2"/>
      <c r="HA38" s="2">
        <v>0</v>
      </c>
      <c r="HB38" s="2">
        <v>0</v>
      </c>
      <c r="HC38" s="2">
        <f t="shared" ref="HC38:HC53" si="95">GV38*GW38</f>
        <v>0</v>
      </c>
      <c r="HD38" s="2"/>
      <c r="HE38" s="2" t="s">
        <v>3</v>
      </c>
      <c r="HF38" s="2" t="s">
        <v>3</v>
      </c>
      <c r="HG38" s="2"/>
      <c r="HH38" s="2"/>
      <c r="HI38" s="2">
        <f t="shared" si="54"/>
        <v>0</v>
      </c>
      <c r="HJ38" s="2">
        <f t="shared" si="55"/>
        <v>0</v>
      </c>
      <c r="HK38" s="2">
        <f t="shared" ref="HK38:HK53" si="96">ROUND((((HJ38+HI38)*AT38)/100),2)</f>
        <v>0</v>
      </c>
      <c r="HL38" s="2">
        <f t="shared" ref="HL38:HL53" si="97">ROUND((((HJ38+HI38)*AU38)/100),2)</f>
        <v>0</v>
      </c>
      <c r="HM38" s="2" t="s">
        <v>3</v>
      </c>
      <c r="HN38" s="2" t="s">
        <v>3</v>
      </c>
      <c r="HO38" s="2" t="s">
        <v>3</v>
      </c>
      <c r="HP38" s="2" t="s">
        <v>3</v>
      </c>
      <c r="HQ38" s="2" t="s">
        <v>3</v>
      </c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>
        <v>0</v>
      </c>
      <c r="IL38" s="2"/>
      <c r="IM38" s="2"/>
      <c r="IN38" s="2"/>
      <c r="IO38" s="2"/>
      <c r="IP38" s="2"/>
      <c r="IQ38" s="2"/>
      <c r="IR38" s="2"/>
      <c r="IS38" s="2"/>
      <c r="IT38" s="2"/>
      <c r="IU38" s="2"/>
    </row>
    <row r="39" spans="1:255">
      <c r="A39">
        <v>17</v>
      </c>
      <c r="B39">
        <v>1</v>
      </c>
      <c r="C39">
        <f>ROW(SmtRes!A16)</f>
        <v>16</v>
      </c>
      <c r="D39">
        <f>ROW(EtalonRes!A16)</f>
        <v>16</v>
      </c>
      <c r="E39" t="s">
        <v>66</v>
      </c>
      <c r="F39" t="s">
        <v>67</v>
      </c>
      <c r="G39" t="s">
        <v>68</v>
      </c>
      <c r="H39" t="s">
        <v>21</v>
      </c>
      <c r="I39">
        <f>ROUND(((4.69*14)-32.4)/2*0,7)</f>
        <v>0</v>
      </c>
      <c r="J39">
        <v>0</v>
      </c>
      <c r="K39">
        <f>ROUND(((4.69*14)-32.4)/2*0,7)</f>
        <v>0</v>
      </c>
      <c r="O39">
        <f t="shared" si="58"/>
        <v>0</v>
      </c>
      <c r="P39">
        <f t="shared" si="59"/>
        <v>0</v>
      </c>
      <c r="Q39">
        <f t="shared" si="60"/>
        <v>0</v>
      </c>
      <c r="R39">
        <f t="shared" si="61"/>
        <v>0</v>
      </c>
      <c r="S39">
        <f t="shared" si="62"/>
        <v>0</v>
      </c>
      <c r="T39">
        <f t="shared" si="63"/>
        <v>0</v>
      </c>
      <c r="U39">
        <f t="shared" si="64"/>
        <v>0</v>
      </c>
      <c r="V39">
        <f t="shared" si="65"/>
        <v>0</v>
      </c>
      <c r="W39">
        <f t="shared" si="66"/>
        <v>0</v>
      </c>
      <c r="X39">
        <f t="shared" si="67"/>
        <v>0</v>
      </c>
      <c r="Y39">
        <f t="shared" si="68"/>
        <v>0</v>
      </c>
      <c r="AA39">
        <v>73147422</v>
      </c>
      <c r="AB39">
        <f t="shared" si="69"/>
        <v>323.51</v>
      </c>
      <c r="AC39">
        <f t="shared" si="70"/>
        <v>0</v>
      </c>
      <c r="AD39">
        <f t="shared" si="71"/>
        <v>295.94</v>
      </c>
      <c r="AE39">
        <f t="shared" si="72"/>
        <v>17.170000000000002</v>
      </c>
      <c r="AF39">
        <f t="shared" si="73"/>
        <v>27.57</v>
      </c>
      <c r="AG39">
        <f t="shared" si="74"/>
        <v>0</v>
      </c>
      <c r="AH39">
        <f t="shared" si="75"/>
        <v>3.04</v>
      </c>
      <c r="AI39">
        <f t="shared" si="76"/>
        <v>1.48</v>
      </c>
      <c r="AJ39">
        <f t="shared" si="77"/>
        <v>0</v>
      </c>
      <c r="AK39">
        <v>323.51</v>
      </c>
      <c r="AL39">
        <v>0</v>
      </c>
      <c r="AM39">
        <v>295.94</v>
      </c>
      <c r="AN39">
        <v>17.170000000000002</v>
      </c>
      <c r="AO39">
        <v>27.57</v>
      </c>
      <c r="AP39">
        <v>0</v>
      </c>
      <c r="AQ39">
        <v>3.04</v>
      </c>
      <c r="AR39">
        <v>1.48</v>
      </c>
      <c r="AS39">
        <v>0</v>
      </c>
      <c r="AT39">
        <v>102</v>
      </c>
      <c r="AU39">
        <v>54</v>
      </c>
      <c r="AV39">
        <v>1</v>
      </c>
      <c r="AW39">
        <v>1</v>
      </c>
      <c r="AZ39">
        <v>1</v>
      </c>
      <c r="BA39">
        <v>24.24</v>
      </c>
      <c r="BB39">
        <v>1</v>
      </c>
      <c r="BC39">
        <v>1</v>
      </c>
      <c r="BD39" t="s">
        <v>3</v>
      </c>
      <c r="BE39" t="s">
        <v>3</v>
      </c>
      <c r="BF39" t="s">
        <v>3</v>
      </c>
      <c r="BG39" t="s">
        <v>3</v>
      </c>
      <c r="BH39">
        <v>0</v>
      </c>
      <c r="BI39">
        <v>1</v>
      </c>
      <c r="BJ39" t="s">
        <v>69</v>
      </c>
      <c r="BM39">
        <v>68001</v>
      </c>
      <c r="BN39">
        <v>0</v>
      </c>
      <c r="BO39" t="s">
        <v>3</v>
      </c>
      <c r="BP39">
        <v>0</v>
      </c>
      <c r="BQ39">
        <v>6</v>
      </c>
      <c r="BR39">
        <v>0</v>
      </c>
      <c r="BS39">
        <v>24.24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102</v>
      </c>
      <c r="CA39">
        <v>54</v>
      </c>
      <c r="CB39" t="s">
        <v>3</v>
      </c>
      <c r="CE39">
        <v>0</v>
      </c>
      <c r="CF39">
        <v>0</v>
      </c>
      <c r="CG39">
        <v>0</v>
      </c>
      <c r="CM39">
        <v>0</v>
      </c>
      <c r="CN39" t="s">
        <v>3</v>
      </c>
      <c r="CO39">
        <v>0</v>
      </c>
      <c r="CP39">
        <f t="shared" si="78"/>
        <v>0</v>
      </c>
      <c r="CQ39">
        <f t="shared" si="79"/>
        <v>0</v>
      </c>
      <c r="CR39">
        <f t="shared" si="80"/>
        <v>295.94</v>
      </c>
      <c r="CS39">
        <f t="shared" si="81"/>
        <v>17.170000000000002</v>
      </c>
      <c r="CT39">
        <f t="shared" si="82"/>
        <v>27.57</v>
      </c>
      <c r="CU39">
        <f t="shared" si="83"/>
        <v>0</v>
      </c>
      <c r="CV39">
        <f t="shared" si="84"/>
        <v>3.04</v>
      </c>
      <c r="CW39">
        <f t="shared" si="85"/>
        <v>1.48</v>
      </c>
      <c r="CX39">
        <f t="shared" si="86"/>
        <v>0</v>
      </c>
      <c r="CY39">
        <f t="shared" si="87"/>
        <v>0</v>
      </c>
      <c r="CZ39">
        <f t="shared" si="88"/>
        <v>0</v>
      </c>
      <c r="DC39" t="s">
        <v>3</v>
      </c>
      <c r="DD39" t="s">
        <v>3</v>
      </c>
      <c r="DE39" t="s">
        <v>3</v>
      </c>
      <c r="DF39" t="s">
        <v>3</v>
      </c>
      <c r="DG39" t="s">
        <v>3</v>
      </c>
      <c r="DH39" t="s">
        <v>3</v>
      </c>
      <c r="DI39" t="s">
        <v>3</v>
      </c>
      <c r="DJ39" t="s">
        <v>3</v>
      </c>
      <c r="DK39" t="s">
        <v>3</v>
      </c>
      <c r="DL39" t="s">
        <v>3</v>
      </c>
      <c r="DM39" t="s">
        <v>3</v>
      </c>
      <c r="DN39">
        <v>0</v>
      </c>
      <c r="DO39">
        <v>0</v>
      </c>
      <c r="DP39">
        <v>1</v>
      </c>
      <c r="DQ39">
        <v>1</v>
      </c>
      <c r="DU39">
        <v>1007</v>
      </c>
      <c r="DV39" t="s">
        <v>21</v>
      </c>
      <c r="DW39" t="s">
        <v>21</v>
      </c>
      <c r="DX39">
        <v>1</v>
      </c>
      <c r="DZ39" t="s">
        <v>3</v>
      </c>
      <c r="EA39" t="s">
        <v>3</v>
      </c>
      <c r="EB39" t="s">
        <v>3</v>
      </c>
      <c r="EC39" t="s">
        <v>3</v>
      </c>
      <c r="EE39">
        <v>65361239</v>
      </c>
      <c r="EF39">
        <v>6</v>
      </c>
      <c r="EG39" t="s">
        <v>23</v>
      </c>
      <c r="EH39">
        <v>102</v>
      </c>
      <c r="EI39" t="s">
        <v>24</v>
      </c>
      <c r="EJ39">
        <v>1</v>
      </c>
      <c r="EK39">
        <v>68001</v>
      </c>
      <c r="EL39" t="s">
        <v>24</v>
      </c>
      <c r="EM39" t="s">
        <v>25</v>
      </c>
      <c r="EO39" t="s">
        <v>3</v>
      </c>
      <c r="EQ39">
        <v>0</v>
      </c>
      <c r="ER39">
        <v>323.51</v>
      </c>
      <c r="ES39">
        <v>0</v>
      </c>
      <c r="ET39">
        <v>295.94</v>
      </c>
      <c r="EU39">
        <v>17.170000000000002</v>
      </c>
      <c r="EV39">
        <v>27.57</v>
      </c>
      <c r="EW39">
        <v>3.04</v>
      </c>
      <c r="EX39">
        <v>1.48</v>
      </c>
      <c r="EY39">
        <v>0</v>
      </c>
      <c r="FQ39">
        <v>0</v>
      </c>
      <c r="FR39">
        <f t="shared" si="45"/>
        <v>0</v>
      </c>
      <c r="FS39">
        <v>0</v>
      </c>
      <c r="FX39">
        <v>102</v>
      </c>
      <c r="FY39">
        <v>54</v>
      </c>
      <c r="GA39" t="s">
        <v>3</v>
      </c>
      <c r="GD39">
        <v>1</v>
      </c>
      <c r="GF39">
        <v>-1678251927</v>
      </c>
      <c r="GG39">
        <v>2</v>
      </c>
      <c r="GH39">
        <v>1</v>
      </c>
      <c r="GI39">
        <v>4</v>
      </c>
      <c r="GJ39">
        <v>0</v>
      </c>
      <c r="GK39">
        <v>0</v>
      </c>
      <c r="GL39">
        <f t="shared" si="46"/>
        <v>0</v>
      </c>
      <c r="GM39">
        <f t="shared" si="89"/>
        <v>0</v>
      </c>
      <c r="GN39">
        <f t="shared" si="90"/>
        <v>0</v>
      </c>
      <c r="GO39">
        <f t="shared" si="91"/>
        <v>0</v>
      </c>
      <c r="GP39">
        <f t="shared" si="92"/>
        <v>0</v>
      </c>
      <c r="GR39">
        <v>0</v>
      </c>
      <c r="GS39">
        <v>0</v>
      </c>
      <c r="GT39">
        <v>0</v>
      </c>
      <c r="GU39" t="s">
        <v>3</v>
      </c>
      <c r="GV39">
        <f t="shared" si="93"/>
        <v>0</v>
      </c>
      <c r="GW39">
        <v>1</v>
      </c>
      <c r="GX39">
        <f t="shared" si="94"/>
        <v>0</v>
      </c>
      <c r="HA39">
        <v>0</v>
      </c>
      <c r="HB39">
        <v>0</v>
      </c>
      <c r="HC39">
        <f t="shared" si="95"/>
        <v>0</v>
      </c>
      <c r="HE39" t="s">
        <v>3</v>
      </c>
      <c r="HF39" t="s">
        <v>3</v>
      </c>
      <c r="HI39">
        <f t="shared" si="54"/>
        <v>0</v>
      </c>
      <c r="HJ39">
        <f t="shared" si="55"/>
        <v>0</v>
      </c>
      <c r="HK39">
        <f t="shared" si="96"/>
        <v>0</v>
      </c>
      <c r="HL39">
        <f t="shared" si="97"/>
        <v>0</v>
      </c>
      <c r="HM39" t="s">
        <v>3</v>
      </c>
      <c r="HN39" t="s">
        <v>3</v>
      </c>
      <c r="HO39" t="s">
        <v>3</v>
      </c>
      <c r="HP39" t="s">
        <v>3</v>
      </c>
      <c r="HQ39" t="s">
        <v>3</v>
      </c>
      <c r="IK39">
        <v>0</v>
      </c>
    </row>
    <row r="40" spans="1:255">
      <c r="A40" s="2">
        <v>17</v>
      </c>
      <c r="B40" s="2">
        <v>1</v>
      </c>
      <c r="C40" s="2">
        <f>ROW(SmtRes!A17)</f>
        <v>17</v>
      </c>
      <c r="D40" s="2">
        <f>ROW(EtalonRes!A17)</f>
        <v>17</v>
      </c>
      <c r="E40" s="2" t="s">
        <v>70</v>
      </c>
      <c r="F40" s="2" t="s">
        <v>71</v>
      </c>
      <c r="G40" s="2" t="s">
        <v>72</v>
      </c>
      <c r="H40" s="2" t="s">
        <v>73</v>
      </c>
      <c r="I40" s="2">
        <v>0</v>
      </c>
      <c r="J40" s="2">
        <v>0</v>
      </c>
      <c r="K40" s="2">
        <v>0</v>
      </c>
      <c r="L40" s="2"/>
      <c r="M40" s="2"/>
      <c r="N40" s="2"/>
      <c r="O40" s="2">
        <f t="shared" si="58"/>
        <v>0</v>
      </c>
      <c r="P40" s="2">
        <f t="shared" si="59"/>
        <v>0</v>
      </c>
      <c r="Q40" s="2">
        <f t="shared" si="60"/>
        <v>0</v>
      </c>
      <c r="R40" s="2">
        <f t="shared" si="61"/>
        <v>0</v>
      </c>
      <c r="S40" s="2">
        <f t="shared" si="62"/>
        <v>0</v>
      </c>
      <c r="T40" s="2">
        <f t="shared" si="63"/>
        <v>0</v>
      </c>
      <c r="U40" s="2">
        <f t="shared" si="64"/>
        <v>0</v>
      </c>
      <c r="V40" s="2">
        <f t="shared" si="65"/>
        <v>0</v>
      </c>
      <c r="W40" s="2">
        <f t="shared" si="66"/>
        <v>0</v>
      </c>
      <c r="X40" s="2">
        <f t="shared" si="67"/>
        <v>0</v>
      </c>
      <c r="Y40" s="2">
        <f t="shared" si="68"/>
        <v>0</v>
      </c>
      <c r="Z40" s="2"/>
      <c r="AA40" s="2">
        <v>73147424</v>
      </c>
      <c r="AB40" s="2">
        <f t="shared" si="69"/>
        <v>6.05</v>
      </c>
      <c r="AC40" s="2">
        <f t="shared" si="70"/>
        <v>0</v>
      </c>
      <c r="AD40" s="2">
        <f t="shared" si="71"/>
        <v>0</v>
      </c>
      <c r="AE40" s="2">
        <f t="shared" si="72"/>
        <v>0</v>
      </c>
      <c r="AF40" s="2">
        <f t="shared" si="73"/>
        <v>6.05</v>
      </c>
      <c r="AG40" s="2">
        <f t="shared" si="74"/>
        <v>0</v>
      </c>
      <c r="AH40" s="2">
        <f t="shared" si="75"/>
        <v>0.8</v>
      </c>
      <c r="AI40" s="2">
        <f t="shared" si="76"/>
        <v>0</v>
      </c>
      <c r="AJ40" s="2">
        <f t="shared" si="77"/>
        <v>0</v>
      </c>
      <c r="AK40" s="2">
        <v>6.05</v>
      </c>
      <c r="AL40" s="2">
        <v>0</v>
      </c>
      <c r="AM40" s="2">
        <v>0</v>
      </c>
      <c r="AN40" s="2">
        <v>0</v>
      </c>
      <c r="AO40" s="2">
        <v>6.05</v>
      </c>
      <c r="AP40" s="2">
        <v>0</v>
      </c>
      <c r="AQ40" s="2">
        <v>0.8</v>
      </c>
      <c r="AR40" s="2">
        <v>0</v>
      </c>
      <c r="AS40" s="2">
        <v>0</v>
      </c>
      <c r="AT40" s="2">
        <v>102</v>
      </c>
      <c r="AU40" s="2">
        <v>54</v>
      </c>
      <c r="AV40" s="2">
        <v>1</v>
      </c>
      <c r="AW40" s="2">
        <v>1</v>
      </c>
      <c r="AX40" s="2"/>
      <c r="AY40" s="2"/>
      <c r="AZ40" s="2">
        <v>1</v>
      </c>
      <c r="BA40" s="2">
        <v>1</v>
      </c>
      <c r="BB40" s="2">
        <v>1</v>
      </c>
      <c r="BC40" s="2">
        <v>1</v>
      </c>
      <c r="BD40" s="2" t="s">
        <v>3</v>
      </c>
      <c r="BE40" s="2" t="s">
        <v>3</v>
      </c>
      <c r="BF40" s="2" t="s">
        <v>3</v>
      </c>
      <c r="BG40" s="2" t="s">
        <v>3</v>
      </c>
      <c r="BH40" s="2">
        <v>0</v>
      </c>
      <c r="BI40" s="2">
        <v>1</v>
      </c>
      <c r="BJ40" s="2" t="s">
        <v>74</v>
      </c>
      <c r="BK40" s="2"/>
      <c r="BL40" s="2"/>
      <c r="BM40" s="2">
        <v>68001</v>
      </c>
      <c r="BN40" s="2">
        <v>0</v>
      </c>
      <c r="BO40" s="2" t="s">
        <v>3</v>
      </c>
      <c r="BP40" s="2">
        <v>0</v>
      </c>
      <c r="BQ40" s="2">
        <v>6</v>
      </c>
      <c r="BR40" s="2">
        <v>0</v>
      </c>
      <c r="BS40" s="2">
        <v>1</v>
      </c>
      <c r="BT40" s="2">
        <v>1</v>
      </c>
      <c r="BU40" s="2">
        <v>1</v>
      </c>
      <c r="BV40" s="2">
        <v>1</v>
      </c>
      <c r="BW40" s="2">
        <v>1</v>
      </c>
      <c r="BX40" s="2">
        <v>1</v>
      </c>
      <c r="BY40" s="2" t="s">
        <v>3</v>
      </c>
      <c r="BZ40" s="2">
        <v>102</v>
      </c>
      <c r="CA40" s="2">
        <v>54</v>
      </c>
      <c r="CB40" s="2" t="s">
        <v>3</v>
      </c>
      <c r="CC40" s="2"/>
      <c r="CD40" s="2"/>
      <c r="CE40" s="2">
        <v>0</v>
      </c>
      <c r="CF40" s="2">
        <v>0</v>
      </c>
      <c r="CG40" s="2">
        <v>0</v>
      </c>
      <c r="CH40" s="2"/>
      <c r="CI40" s="2"/>
      <c r="CJ40" s="2"/>
      <c r="CK40" s="2"/>
      <c r="CL40" s="2"/>
      <c r="CM40" s="2">
        <v>0</v>
      </c>
      <c r="CN40" s="2" t="s">
        <v>3</v>
      </c>
      <c r="CO40" s="2">
        <v>0</v>
      </c>
      <c r="CP40" s="2">
        <f t="shared" si="78"/>
        <v>0</v>
      </c>
      <c r="CQ40" s="2">
        <f t="shared" si="79"/>
        <v>0</v>
      </c>
      <c r="CR40" s="2">
        <f t="shared" si="80"/>
        <v>0</v>
      </c>
      <c r="CS40" s="2">
        <f t="shared" si="81"/>
        <v>0</v>
      </c>
      <c r="CT40" s="2">
        <f t="shared" si="82"/>
        <v>6.05</v>
      </c>
      <c r="CU40" s="2">
        <f t="shared" si="83"/>
        <v>0</v>
      </c>
      <c r="CV40" s="2">
        <f t="shared" si="84"/>
        <v>0.8</v>
      </c>
      <c r="CW40" s="2">
        <f t="shared" si="85"/>
        <v>0</v>
      </c>
      <c r="CX40" s="2">
        <f t="shared" si="86"/>
        <v>0</v>
      </c>
      <c r="CY40" s="2">
        <f t="shared" si="87"/>
        <v>0</v>
      </c>
      <c r="CZ40" s="2">
        <f t="shared" si="88"/>
        <v>0</v>
      </c>
      <c r="DA40" s="2"/>
      <c r="DB40" s="2"/>
      <c r="DC40" s="2" t="s">
        <v>3</v>
      </c>
      <c r="DD40" s="2" t="s">
        <v>3</v>
      </c>
      <c r="DE40" s="2" t="s">
        <v>3</v>
      </c>
      <c r="DF40" s="2" t="s">
        <v>3</v>
      </c>
      <c r="DG40" s="2" t="s">
        <v>3</v>
      </c>
      <c r="DH40" s="2" t="s">
        <v>3</v>
      </c>
      <c r="DI40" s="2" t="s">
        <v>3</v>
      </c>
      <c r="DJ40" s="2" t="s">
        <v>3</v>
      </c>
      <c r="DK40" s="2" t="s">
        <v>3</v>
      </c>
      <c r="DL40" s="2" t="s">
        <v>3</v>
      </c>
      <c r="DM40" s="2" t="s">
        <v>3</v>
      </c>
      <c r="DN40" s="2">
        <v>0</v>
      </c>
      <c r="DO40" s="2">
        <v>0</v>
      </c>
      <c r="DP40" s="2">
        <v>1</v>
      </c>
      <c r="DQ40" s="2">
        <v>1</v>
      </c>
      <c r="DR40" s="2"/>
      <c r="DS40" s="2"/>
      <c r="DT40" s="2"/>
      <c r="DU40" s="2">
        <v>1013</v>
      </c>
      <c r="DV40" s="2" t="s">
        <v>73</v>
      </c>
      <c r="DW40" s="2" t="s">
        <v>73</v>
      </c>
      <c r="DX40" s="2">
        <v>1</v>
      </c>
      <c r="DY40" s="2"/>
      <c r="DZ40" s="2" t="s">
        <v>3</v>
      </c>
      <c r="EA40" s="2" t="s">
        <v>3</v>
      </c>
      <c r="EB40" s="2" t="s">
        <v>3</v>
      </c>
      <c r="EC40" s="2" t="s">
        <v>3</v>
      </c>
      <c r="ED40" s="2"/>
      <c r="EE40" s="2">
        <v>65361239</v>
      </c>
      <c r="EF40" s="2">
        <v>6</v>
      </c>
      <c r="EG40" s="2" t="s">
        <v>23</v>
      </c>
      <c r="EH40" s="2">
        <v>102</v>
      </c>
      <c r="EI40" s="2" t="s">
        <v>24</v>
      </c>
      <c r="EJ40" s="2">
        <v>1</v>
      </c>
      <c r="EK40" s="2">
        <v>68001</v>
      </c>
      <c r="EL40" s="2" t="s">
        <v>24</v>
      </c>
      <c r="EM40" s="2" t="s">
        <v>25</v>
      </c>
      <c r="EN40" s="2"/>
      <c r="EO40" s="2" t="s">
        <v>3</v>
      </c>
      <c r="EP40" s="2"/>
      <c r="EQ40" s="2">
        <v>0</v>
      </c>
      <c r="ER40" s="2">
        <v>6.05</v>
      </c>
      <c r="ES40" s="2">
        <v>0</v>
      </c>
      <c r="ET40" s="2">
        <v>0</v>
      </c>
      <c r="EU40" s="2">
        <v>0</v>
      </c>
      <c r="EV40" s="2">
        <v>6.05</v>
      </c>
      <c r="EW40" s="2">
        <v>0.8</v>
      </c>
      <c r="EX40" s="2">
        <v>0</v>
      </c>
      <c r="EY40" s="2">
        <v>0</v>
      </c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>
        <v>0</v>
      </c>
      <c r="FR40" s="2">
        <f t="shared" si="45"/>
        <v>0</v>
      </c>
      <c r="FS40" s="2">
        <v>0</v>
      </c>
      <c r="FT40" s="2"/>
      <c r="FU40" s="2"/>
      <c r="FV40" s="2"/>
      <c r="FW40" s="2"/>
      <c r="FX40" s="2">
        <v>102</v>
      </c>
      <c r="FY40" s="2">
        <v>54</v>
      </c>
      <c r="FZ40" s="2"/>
      <c r="GA40" s="2" t="s">
        <v>3</v>
      </c>
      <c r="GB40" s="2"/>
      <c r="GC40" s="2"/>
      <c r="GD40" s="2">
        <v>1</v>
      </c>
      <c r="GE40" s="2"/>
      <c r="GF40" s="2">
        <v>-1268085511</v>
      </c>
      <c r="GG40" s="2">
        <v>2</v>
      </c>
      <c r="GH40" s="2">
        <v>1</v>
      </c>
      <c r="GI40" s="2">
        <v>-2</v>
      </c>
      <c r="GJ40" s="2">
        <v>0</v>
      </c>
      <c r="GK40" s="2">
        <v>0</v>
      </c>
      <c r="GL40" s="2">
        <f t="shared" si="46"/>
        <v>0</v>
      </c>
      <c r="GM40" s="2">
        <f t="shared" si="89"/>
        <v>0</v>
      </c>
      <c r="GN40" s="2">
        <f t="shared" si="90"/>
        <v>0</v>
      </c>
      <c r="GO40" s="2">
        <f t="shared" si="91"/>
        <v>0</v>
      </c>
      <c r="GP40" s="2">
        <f t="shared" si="92"/>
        <v>0</v>
      </c>
      <c r="GQ40" s="2"/>
      <c r="GR40" s="2">
        <v>0</v>
      </c>
      <c r="GS40" s="2">
        <v>3</v>
      </c>
      <c r="GT40" s="2">
        <v>0</v>
      </c>
      <c r="GU40" s="2" t="s">
        <v>3</v>
      </c>
      <c r="GV40" s="2">
        <f t="shared" si="93"/>
        <v>0</v>
      </c>
      <c r="GW40" s="2">
        <v>1</v>
      </c>
      <c r="GX40" s="2">
        <f t="shared" si="94"/>
        <v>0</v>
      </c>
      <c r="GY40" s="2"/>
      <c r="GZ40" s="2"/>
      <c r="HA40" s="2">
        <v>0</v>
      </c>
      <c r="HB40" s="2">
        <v>0</v>
      </c>
      <c r="HC40" s="2">
        <f t="shared" si="95"/>
        <v>0</v>
      </c>
      <c r="HD40" s="2"/>
      <c r="HE40" s="2" t="s">
        <v>3</v>
      </c>
      <c r="HF40" s="2" t="s">
        <v>3</v>
      </c>
      <c r="HG40" s="2"/>
      <c r="HH40" s="2"/>
      <c r="HI40" s="2">
        <f t="shared" si="54"/>
        <v>0</v>
      </c>
      <c r="HJ40" s="2">
        <f t="shared" si="55"/>
        <v>0</v>
      </c>
      <c r="HK40" s="2">
        <f t="shared" si="96"/>
        <v>0</v>
      </c>
      <c r="HL40" s="2">
        <f t="shared" si="97"/>
        <v>0</v>
      </c>
      <c r="HM40" s="2" t="s">
        <v>3</v>
      </c>
      <c r="HN40" s="2" t="s">
        <v>26</v>
      </c>
      <c r="HO40" s="2" t="s">
        <v>27</v>
      </c>
      <c r="HP40" s="2" t="s">
        <v>24</v>
      </c>
      <c r="HQ40" s="2" t="s">
        <v>24</v>
      </c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>
        <v>0</v>
      </c>
      <c r="IL40" s="2"/>
      <c r="IM40" s="2"/>
      <c r="IN40" s="2"/>
      <c r="IO40" s="2"/>
      <c r="IP40" s="2"/>
      <c r="IQ40" s="2"/>
      <c r="IR40" s="2"/>
      <c r="IS40" s="2"/>
      <c r="IT40" s="2"/>
      <c r="IU40" s="2"/>
    </row>
    <row r="41" spans="1:255">
      <c r="A41">
        <v>17</v>
      </c>
      <c r="B41">
        <v>1</v>
      </c>
      <c r="C41">
        <f>ROW(SmtRes!A18)</f>
        <v>18</v>
      </c>
      <c r="D41">
        <f>ROW(EtalonRes!A18)</f>
        <v>18</v>
      </c>
      <c r="E41" t="s">
        <v>70</v>
      </c>
      <c r="F41" t="s">
        <v>71</v>
      </c>
      <c r="G41" t="s">
        <v>72</v>
      </c>
      <c r="H41" t="s">
        <v>73</v>
      </c>
      <c r="I41">
        <v>0</v>
      </c>
      <c r="J41">
        <v>0</v>
      </c>
      <c r="K41">
        <v>0</v>
      </c>
      <c r="O41">
        <f t="shared" si="58"/>
        <v>0</v>
      </c>
      <c r="P41">
        <f t="shared" si="59"/>
        <v>0</v>
      </c>
      <c r="Q41">
        <f t="shared" si="60"/>
        <v>0</v>
      </c>
      <c r="R41">
        <f t="shared" si="61"/>
        <v>0</v>
      </c>
      <c r="S41">
        <f t="shared" si="62"/>
        <v>0</v>
      </c>
      <c r="T41">
        <f t="shared" si="63"/>
        <v>0</v>
      </c>
      <c r="U41">
        <f t="shared" si="64"/>
        <v>0</v>
      </c>
      <c r="V41">
        <f t="shared" si="65"/>
        <v>0</v>
      </c>
      <c r="W41">
        <f t="shared" si="66"/>
        <v>0</v>
      </c>
      <c r="X41">
        <f t="shared" si="67"/>
        <v>0</v>
      </c>
      <c r="Y41">
        <f t="shared" si="68"/>
        <v>0</v>
      </c>
      <c r="AA41">
        <v>73147422</v>
      </c>
      <c r="AB41">
        <f t="shared" si="69"/>
        <v>6.05</v>
      </c>
      <c r="AC41">
        <f t="shared" si="70"/>
        <v>0</v>
      </c>
      <c r="AD41">
        <f t="shared" si="71"/>
        <v>0</v>
      </c>
      <c r="AE41">
        <f t="shared" si="72"/>
        <v>0</v>
      </c>
      <c r="AF41">
        <f t="shared" si="73"/>
        <v>6.05</v>
      </c>
      <c r="AG41">
        <f t="shared" si="74"/>
        <v>0</v>
      </c>
      <c r="AH41">
        <f t="shared" si="75"/>
        <v>0.8</v>
      </c>
      <c r="AI41">
        <f t="shared" si="76"/>
        <v>0</v>
      </c>
      <c r="AJ41">
        <f t="shared" si="77"/>
        <v>0</v>
      </c>
      <c r="AK41">
        <v>6.05</v>
      </c>
      <c r="AL41">
        <v>0</v>
      </c>
      <c r="AM41">
        <v>0</v>
      </c>
      <c r="AN41">
        <v>0</v>
      </c>
      <c r="AO41">
        <v>6.05</v>
      </c>
      <c r="AP41">
        <v>0</v>
      </c>
      <c r="AQ41">
        <v>0.8</v>
      </c>
      <c r="AR41">
        <v>0</v>
      </c>
      <c r="AS41">
        <v>0</v>
      </c>
      <c r="AT41">
        <v>102</v>
      </c>
      <c r="AU41">
        <v>54</v>
      </c>
      <c r="AV41">
        <v>1</v>
      </c>
      <c r="AW41">
        <v>1</v>
      </c>
      <c r="AZ41">
        <v>1</v>
      </c>
      <c r="BA41">
        <v>24.24</v>
      </c>
      <c r="BB41">
        <v>1</v>
      </c>
      <c r="BC41">
        <v>1</v>
      </c>
      <c r="BD41" t="s">
        <v>3</v>
      </c>
      <c r="BE41" t="s">
        <v>3</v>
      </c>
      <c r="BF41" t="s">
        <v>3</v>
      </c>
      <c r="BG41" t="s">
        <v>3</v>
      </c>
      <c r="BH41">
        <v>0</v>
      </c>
      <c r="BI41">
        <v>1</v>
      </c>
      <c r="BJ41" t="s">
        <v>74</v>
      </c>
      <c r="BM41">
        <v>68001</v>
      </c>
      <c r="BN41">
        <v>0</v>
      </c>
      <c r="BO41" t="s">
        <v>3</v>
      </c>
      <c r="BP41">
        <v>0</v>
      </c>
      <c r="BQ41">
        <v>6</v>
      </c>
      <c r="BR41">
        <v>0</v>
      </c>
      <c r="BS41">
        <v>24.24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3</v>
      </c>
      <c r="BZ41">
        <v>102</v>
      </c>
      <c r="CA41">
        <v>54</v>
      </c>
      <c r="CB41" t="s">
        <v>3</v>
      </c>
      <c r="CE41">
        <v>0</v>
      </c>
      <c r="CF41">
        <v>0</v>
      </c>
      <c r="CG41">
        <v>0</v>
      </c>
      <c r="CM41">
        <v>0</v>
      </c>
      <c r="CN41" t="s">
        <v>3</v>
      </c>
      <c r="CO41">
        <v>0</v>
      </c>
      <c r="CP41">
        <f t="shared" si="78"/>
        <v>0</v>
      </c>
      <c r="CQ41">
        <f t="shared" si="79"/>
        <v>0</v>
      </c>
      <c r="CR41">
        <f t="shared" si="80"/>
        <v>0</v>
      </c>
      <c r="CS41">
        <f t="shared" si="81"/>
        <v>0</v>
      </c>
      <c r="CT41">
        <f t="shared" si="82"/>
        <v>6.05</v>
      </c>
      <c r="CU41">
        <f t="shared" si="83"/>
        <v>0</v>
      </c>
      <c r="CV41">
        <f t="shared" si="84"/>
        <v>0.8</v>
      </c>
      <c r="CW41">
        <f t="shared" si="85"/>
        <v>0</v>
      </c>
      <c r="CX41">
        <f t="shared" si="86"/>
        <v>0</v>
      </c>
      <c r="CY41">
        <f t="shared" si="87"/>
        <v>0</v>
      </c>
      <c r="CZ41">
        <f t="shared" si="88"/>
        <v>0</v>
      </c>
      <c r="DC41" t="s">
        <v>3</v>
      </c>
      <c r="DD41" t="s">
        <v>3</v>
      </c>
      <c r="DE41" t="s">
        <v>3</v>
      </c>
      <c r="DF41" t="s">
        <v>3</v>
      </c>
      <c r="DG41" t="s">
        <v>3</v>
      </c>
      <c r="DH41" t="s">
        <v>3</v>
      </c>
      <c r="DI41" t="s">
        <v>3</v>
      </c>
      <c r="DJ41" t="s">
        <v>3</v>
      </c>
      <c r="DK41" t="s">
        <v>3</v>
      </c>
      <c r="DL41" t="s">
        <v>3</v>
      </c>
      <c r="DM41" t="s">
        <v>3</v>
      </c>
      <c r="DN41">
        <v>0</v>
      </c>
      <c r="DO41">
        <v>0</v>
      </c>
      <c r="DP41">
        <v>1</v>
      </c>
      <c r="DQ41">
        <v>1</v>
      </c>
      <c r="DU41">
        <v>1013</v>
      </c>
      <c r="DV41" t="s">
        <v>73</v>
      </c>
      <c r="DW41" t="s">
        <v>73</v>
      </c>
      <c r="DX41">
        <v>1</v>
      </c>
      <c r="DZ41" t="s">
        <v>3</v>
      </c>
      <c r="EA41" t="s">
        <v>3</v>
      </c>
      <c r="EB41" t="s">
        <v>3</v>
      </c>
      <c r="EC41" t="s">
        <v>3</v>
      </c>
      <c r="EE41">
        <v>65361239</v>
      </c>
      <c r="EF41">
        <v>6</v>
      </c>
      <c r="EG41" t="s">
        <v>23</v>
      </c>
      <c r="EH41">
        <v>102</v>
      </c>
      <c r="EI41" t="s">
        <v>24</v>
      </c>
      <c r="EJ41">
        <v>1</v>
      </c>
      <c r="EK41">
        <v>68001</v>
      </c>
      <c r="EL41" t="s">
        <v>24</v>
      </c>
      <c r="EM41" t="s">
        <v>25</v>
      </c>
      <c r="EO41" t="s">
        <v>3</v>
      </c>
      <c r="EQ41">
        <v>0</v>
      </c>
      <c r="ER41">
        <v>6.05</v>
      </c>
      <c r="ES41">
        <v>0</v>
      </c>
      <c r="ET41">
        <v>0</v>
      </c>
      <c r="EU41">
        <v>0</v>
      </c>
      <c r="EV41">
        <v>6.05</v>
      </c>
      <c r="EW41">
        <v>0.8</v>
      </c>
      <c r="EX41">
        <v>0</v>
      </c>
      <c r="EY41">
        <v>0</v>
      </c>
      <c r="FQ41">
        <v>0</v>
      </c>
      <c r="FR41">
        <f t="shared" si="45"/>
        <v>0</v>
      </c>
      <c r="FS41">
        <v>0</v>
      </c>
      <c r="FX41">
        <v>102</v>
      </c>
      <c r="FY41">
        <v>54</v>
      </c>
      <c r="GA41" t="s">
        <v>3</v>
      </c>
      <c r="GD41">
        <v>1</v>
      </c>
      <c r="GF41">
        <v>-1268085511</v>
      </c>
      <c r="GG41">
        <v>2</v>
      </c>
      <c r="GH41">
        <v>1</v>
      </c>
      <c r="GI41">
        <v>4</v>
      </c>
      <c r="GJ41">
        <v>0</v>
      </c>
      <c r="GK41">
        <v>0</v>
      </c>
      <c r="GL41">
        <f t="shared" si="46"/>
        <v>0</v>
      </c>
      <c r="GM41">
        <f t="shared" si="89"/>
        <v>0</v>
      </c>
      <c r="GN41">
        <f t="shared" si="90"/>
        <v>0</v>
      </c>
      <c r="GO41">
        <f t="shared" si="91"/>
        <v>0</v>
      </c>
      <c r="GP41">
        <f t="shared" si="92"/>
        <v>0</v>
      </c>
      <c r="GR41">
        <v>0</v>
      </c>
      <c r="GS41">
        <v>3</v>
      </c>
      <c r="GT41">
        <v>0</v>
      </c>
      <c r="GU41" t="s">
        <v>3</v>
      </c>
      <c r="GV41">
        <f t="shared" si="93"/>
        <v>0</v>
      </c>
      <c r="GW41">
        <v>1</v>
      </c>
      <c r="GX41">
        <f t="shared" si="94"/>
        <v>0</v>
      </c>
      <c r="HA41">
        <v>0</v>
      </c>
      <c r="HB41">
        <v>0</v>
      </c>
      <c r="HC41">
        <f t="shared" si="95"/>
        <v>0</v>
      </c>
      <c r="HE41" t="s">
        <v>3</v>
      </c>
      <c r="HF41" t="s">
        <v>3</v>
      </c>
      <c r="HI41">
        <f t="shared" si="54"/>
        <v>0</v>
      </c>
      <c r="HJ41">
        <f t="shared" si="55"/>
        <v>0</v>
      </c>
      <c r="HK41">
        <f t="shared" si="96"/>
        <v>0</v>
      </c>
      <c r="HL41">
        <f t="shared" si="97"/>
        <v>0</v>
      </c>
      <c r="HM41" t="s">
        <v>3</v>
      </c>
      <c r="HN41" t="s">
        <v>26</v>
      </c>
      <c r="HO41" t="s">
        <v>27</v>
      </c>
      <c r="HP41" t="s">
        <v>24</v>
      </c>
      <c r="HQ41" t="s">
        <v>24</v>
      </c>
      <c r="IK41">
        <v>0</v>
      </c>
    </row>
    <row r="42" spans="1:255">
      <c r="A42" s="2">
        <v>17</v>
      </c>
      <c r="B42" s="2">
        <v>1</v>
      </c>
      <c r="C42" s="2">
        <f>ROW(SmtRes!A19)</f>
        <v>19</v>
      </c>
      <c r="D42" s="2">
        <f>ROW(EtalonRes!A19)</f>
        <v>19</v>
      </c>
      <c r="E42" s="2" t="s">
        <v>75</v>
      </c>
      <c r="F42" s="2" t="s">
        <v>76</v>
      </c>
      <c r="G42" s="2" t="s">
        <v>77</v>
      </c>
      <c r="H42" s="2" t="s">
        <v>73</v>
      </c>
      <c r="I42" s="2">
        <v>0</v>
      </c>
      <c r="J42" s="2">
        <v>0</v>
      </c>
      <c r="K42" s="2">
        <v>0</v>
      </c>
      <c r="L42" s="2"/>
      <c r="M42" s="2"/>
      <c r="N42" s="2"/>
      <c r="O42" s="2">
        <f t="shared" si="58"/>
        <v>0</v>
      </c>
      <c r="P42" s="2">
        <f t="shared" si="59"/>
        <v>0</v>
      </c>
      <c r="Q42" s="2">
        <f t="shared" si="60"/>
        <v>0</v>
      </c>
      <c r="R42" s="2">
        <f t="shared" si="61"/>
        <v>0</v>
      </c>
      <c r="S42" s="2">
        <f t="shared" si="62"/>
        <v>0</v>
      </c>
      <c r="T42" s="2">
        <f t="shared" si="63"/>
        <v>0</v>
      </c>
      <c r="U42" s="2">
        <f t="shared" si="64"/>
        <v>0</v>
      </c>
      <c r="V42" s="2">
        <f t="shared" si="65"/>
        <v>0</v>
      </c>
      <c r="W42" s="2">
        <f t="shared" si="66"/>
        <v>0</v>
      </c>
      <c r="X42" s="2">
        <f t="shared" si="67"/>
        <v>0</v>
      </c>
      <c r="Y42" s="2">
        <f t="shared" si="68"/>
        <v>0</v>
      </c>
      <c r="Z42" s="2"/>
      <c r="AA42" s="2">
        <v>73147424</v>
      </c>
      <c r="AB42" s="2">
        <f t="shared" si="69"/>
        <v>12.17</v>
      </c>
      <c r="AC42" s="2">
        <f t="shared" si="70"/>
        <v>0</v>
      </c>
      <c r="AD42" s="2">
        <f t="shared" si="71"/>
        <v>0</v>
      </c>
      <c r="AE42" s="2">
        <f t="shared" si="72"/>
        <v>0</v>
      </c>
      <c r="AF42" s="2">
        <f t="shared" si="73"/>
        <v>12.17</v>
      </c>
      <c r="AG42" s="2">
        <f t="shared" si="74"/>
        <v>0</v>
      </c>
      <c r="AH42" s="2">
        <f t="shared" si="75"/>
        <v>1.61</v>
      </c>
      <c r="AI42" s="2">
        <f t="shared" si="76"/>
        <v>0</v>
      </c>
      <c r="AJ42" s="2">
        <f t="shared" si="77"/>
        <v>0</v>
      </c>
      <c r="AK42" s="2">
        <v>12.17</v>
      </c>
      <c r="AL42" s="2">
        <v>0</v>
      </c>
      <c r="AM42" s="2">
        <v>0</v>
      </c>
      <c r="AN42" s="2">
        <v>0</v>
      </c>
      <c r="AO42" s="2">
        <v>12.17</v>
      </c>
      <c r="AP42" s="2">
        <v>0</v>
      </c>
      <c r="AQ42" s="2">
        <v>1.61</v>
      </c>
      <c r="AR42" s="2">
        <v>0</v>
      </c>
      <c r="AS42" s="2">
        <v>0</v>
      </c>
      <c r="AT42" s="2">
        <v>102</v>
      </c>
      <c r="AU42" s="2">
        <v>54</v>
      </c>
      <c r="AV42" s="2">
        <v>1</v>
      </c>
      <c r="AW42" s="2">
        <v>1</v>
      </c>
      <c r="AX42" s="2"/>
      <c r="AY42" s="2"/>
      <c r="AZ42" s="2">
        <v>1</v>
      </c>
      <c r="BA42" s="2">
        <v>1</v>
      </c>
      <c r="BB42" s="2">
        <v>1</v>
      </c>
      <c r="BC42" s="2">
        <v>1</v>
      </c>
      <c r="BD42" s="2" t="s">
        <v>3</v>
      </c>
      <c r="BE42" s="2" t="s">
        <v>3</v>
      </c>
      <c r="BF42" s="2" t="s">
        <v>3</v>
      </c>
      <c r="BG42" s="2" t="s">
        <v>3</v>
      </c>
      <c r="BH42" s="2">
        <v>0</v>
      </c>
      <c r="BI42" s="2">
        <v>1</v>
      </c>
      <c r="BJ42" s="2" t="s">
        <v>78</v>
      </c>
      <c r="BK42" s="2"/>
      <c r="BL42" s="2"/>
      <c r="BM42" s="2">
        <v>68001</v>
      </c>
      <c r="BN42" s="2">
        <v>0</v>
      </c>
      <c r="BO42" s="2" t="s">
        <v>3</v>
      </c>
      <c r="BP42" s="2">
        <v>0</v>
      </c>
      <c r="BQ42" s="2">
        <v>6</v>
      </c>
      <c r="BR42" s="2">
        <v>0</v>
      </c>
      <c r="BS42" s="2">
        <v>1</v>
      </c>
      <c r="BT42" s="2">
        <v>1</v>
      </c>
      <c r="BU42" s="2">
        <v>1</v>
      </c>
      <c r="BV42" s="2">
        <v>1</v>
      </c>
      <c r="BW42" s="2">
        <v>1</v>
      </c>
      <c r="BX42" s="2">
        <v>1</v>
      </c>
      <c r="BY42" s="2" t="s">
        <v>3</v>
      </c>
      <c r="BZ42" s="2">
        <v>102</v>
      </c>
      <c r="CA42" s="2">
        <v>54</v>
      </c>
      <c r="CB42" s="2" t="s">
        <v>3</v>
      </c>
      <c r="CC42" s="2"/>
      <c r="CD42" s="2"/>
      <c r="CE42" s="2">
        <v>0</v>
      </c>
      <c r="CF42" s="2">
        <v>0</v>
      </c>
      <c r="CG42" s="2">
        <v>0</v>
      </c>
      <c r="CH42" s="2"/>
      <c r="CI42" s="2"/>
      <c r="CJ42" s="2"/>
      <c r="CK42" s="2"/>
      <c r="CL42" s="2"/>
      <c r="CM42" s="2">
        <v>0</v>
      </c>
      <c r="CN42" s="2" t="s">
        <v>3</v>
      </c>
      <c r="CO42" s="2">
        <v>0</v>
      </c>
      <c r="CP42" s="2">
        <f t="shared" si="78"/>
        <v>0</v>
      </c>
      <c r="CQ42" s="2">
        <f t="shared" si="79"/>
        <v>0</v>
      </c>
      <c r="CR42" s="2">
        <f t="shared" si="80"/>
        <v>0</v>
      </c>
      <c r="CS42" s="2">
        <f t="shared" si="81"/>
        <v>0</v>
      </c>
      <c r="CT42" s="2">
        <f t="shared" si="82"/>
        <v>12.17</v>
      </c>
      <c r="CU42" s="2">
        <f t="shared" si="83"/>
        <v>0</v>
      </c>
      <c r="CV42" s="2">
        <f t="shared" si="84"/>
        <v>1.61</v>
      </c>
      <c r="CW42" s="2">
        <f t="shared" si="85"/>
        <v>0</v>
      </c>
      <c r="CX42" s="2">
        <f t="shared" si="86"/>
        <v>0</v>
      </c>
      <c r="CY42" s="2">
        <f t="shared" si="87"/>
        <v>0</v>
      </c>
      <c r="CZ42" s="2">
        <f t="shared" si="88"/>
        <v>0</v>
      </c>
      <c r="DA42" s="2"/>
      <c r="DB42" s="2"/>
      <c r="DC42" s="2" t="s">
        <v>3</v>
      </c>
      <c r="DD42" s="2" t="s">
        <v>3</v>
      </c>
      <c r="DE42" s="2" t="s">
        <v>3</v>
      </c>
      <c r="DF42" s="2" t="s">
        <v>3</v>
      </c>
      <c r="DG42" s="2" t="s">
        <v>3</v>
      </c>
      <c r="DH42" s="2" t="s">
        <v>3</v>
      </c>
      <c r="DI42" s="2" t="s">
        <v>3</v>
      </c>
      <c r="DJ42" s="2" t="s">
        <v>3</v>
      </c>
      <c r="DK42" s="2" t="s">
        <v>3</v>
      </c>
      <c r="DL42" s="2" t="s">
        <v>3</v>
      </c>
      <c r="DM42" s="2" t="s">
        <v>3</v>
      </c>
      <c r="DN42" s="2">
        <v>0</v>
      </c>
      <c r="DO42" s="2">
        <v>0</v>
      </c>
      <c r="DP42" s="2">
        <v>1</v>
      </c>
      <c r="DQ42" s="2">
        <v>1</v>
      </c>
      <c r="DR42" s="2"/>
      <c r="DS42" s="2"/>
      <c r="DT42" s="2"/>
      <c r="DU42" s="2">
        <v>1013</v>
      </c>
      <c r="DV42" s="2" t="s">
        <v>73</v>
      </c>
      <c r="DW42" s="2" t="s">
        <v>73</v>
      </c>
      <c r="DX42" s="2">
        <v>1</v>
      </c>
      <c r="DY42" s="2"/>
      <c r="DZ42" s="2" t="s">
        <v>3</v>
      </c>
      <c r="EA42" s="2" t="s">
        <v>3</v>
      </c>
      <c r="EB42" s="2" t="s">
        <v>3</v>
      </c>
      <c r="EC42" s="2" t="s">
        <v>3</v>
      </c>
      <c r="ED42" s="2"/>
      <c r="EE42" s="2">
        <v>65361239</v>
      </c>
      <c r="EF42" s="2">
        <v>6</v>
      </c>
      <c r="EG42" s="2" t="s">
        <v>23</v>
      </c>
      <c r="EH42" s="2">
        <v>102</v>
      </c>
      <c r="EI42" s="2" t="s">
        <v>24</v>
      </c>
      <c r="EJ42" s="2">
        <v>1</v>
      </c>
      <c r="EK42" s="2">
        <v>68001</v>
      </c>
      <c r="EL42" s="2" t="s">
        <v>24</v>
      </c>
      <c r="EM42" s="2" t="s">
        <v>25</v>
      </c>
      <c r="EN42" s="2"/>
      <c r="EO42" s="2" t="s">
        <v>3</v>
      </c>
      <c r="EP42" s="2"/>
      <c r="EQ42" s="2">
        <v>0</v>
      </c>
      <c r="ER42" s="2">
        <v>12.17</v>
      </c>
      <c r="ES42" s="2">
        <v>0</v>
      </c>
      <c r="ET42" s="2">
        <v>0</v>
      </c>
      <c r="EU42" s="2">
        <v>0</v>
      </c>
      <c r="EV42" s="2">
        <v>12.17</v>
      </c>
      <c r="EW42" s="2">
        <v>1.61</v>
      </c>
      <c r="EX42" s="2">
        <v>0</v>
      </c>
      <c r="EY42" s="2">
        <v>0</v>
      </c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>
        <v>0</v>
      </c>
      <c r="FR42" s="2">
        <f t="shared" si="45"/>
        <v>0</v>
      </c>
      <c r="FS42" s="2">
        <v>0</v>
      </c>
      <c r="FT42" s="2"/>
      <c r="FU42" s="2"/>
      <c r="FV42" s="2"/>
      <c r="FW42" s="2"/>
      <c r="FX42" s="2">
        <v>102</v>
      </c>
      <c r="FY42" s="2">
        <v>54</v>
      </c>
      <c r="FZ42" s="2"/>
      <c r="GA42" s="2" t="s">
        <v>3</v>
      </c>
      <c r="GB42" s="2"/>
      <c r="GC42" s="2"/>
      <c r="GD42" s="2">
        <v>1</v>
      </c>
      <c r="GE42" s="2"/>
      <c r="GF42" s="2">
        <v>-855410789</v>
      </c>
      <c r="GG42" s="2">
        <v>2</v>
      </c>
      <c r="GH42" s="2">
        <v>1</v>
      </c>
      <c r="GI42" s="2">
        <v>-2</v>
      </c>
      <c r="GJ42" s="2">
        <v>0</v>
      </c>
      <c r="GK42" s="2">
        <v>0</v>
      </c>
      <c r="GL42" s="2">
        <f t="shared" si="46"/>
        <v>0</v>
      </c>
      <c r="GM42" s="2">
        <f t="shared" si="89"/>
        <v>0</v>
      </c>
      <c r="GN42" s="2">
        <f t="shared" si="90"/>
        <v>0</v>
      </c>
      <c r="GO42" s="2">
        <f t="shared" si="91"/>
        <v>0</v>
      </c>
      <c r="GP42" s="2">
        <f t="shared" si="92"/>
        <v>0</v>
      </c>
      <c r="GQ42" s="2"/>
      <c r="GR42" s="2">
        <v>0</v>
      </c>
      <c r="GS42" s="2">
        <v>3</v>
      </c>
      <c r="GT42" s="2">
        <v>0</v>
      </c>
      <c r="GU42" s="2" t="s">
        <v>3</v>
      </c>
      <c r="GV42" s="2">
        <f t="shared" si="93"/>
        <v>0</v>
      </c>
      <c r="GW42" s="2">
        <v>1</v>
      </c>
      <c r="GX42" s="2">
        <f t="shared" si="94"/>
        <v>0</v>
      </c>
      <c r="GY42" s="2"/>
      <c r="GZ42" s="2"/>
      <c r="HA42" s="2">
        <v>0</v>
      </c>
      <c r="HB42" s="2">
        <v>0</v>
      </c>
      <c r="HC42" s="2">
        <f t="shared" si="95"/>
        <v>0</v>
      </c>
      <c r="HD42" s="2"/>
      <c r="HE42" s="2" t="s">
        <v>3</v>
      </c>
      <c r="HF42" s="2" t="s">
        <v>3</v>
      </c>
      <c r="HG42" s="2"/>
      <c r="HH42" s="2"/>
      <c r="HI42" s="2">
        <f t="shared" si="54"/>
        <v>0</v>
      </c>
      <c r="HJ42" s="2">
        <f t="shared" si="55"/>
        <v>0</v>
      </c>
      <c r="HK42" s="2">
        <f t="shared" si="96"/>
        <v>0</v>
      </c>
      <c r="HL42" s="2">
        <f t="shared" si="97"/>
        <v>0</v>
      </c>
      <c r="HM42" s="2" t="s">
        <v>3</v>
      </c>
      <c r="HN42" s="2" t="s">
        <v>26</v>
      </c>
      <c r="HO42" s="2" t="s">
        <v>27</v>
      </c>
      <c r="HP42" s="2" t="s">
        <v>24</v>
      </c>
      <c r="HQ42" s="2" t="s">
        <v>24</v>
      </c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>
        <v>0</v>
      </c>
      <c r="IL42" s="2"/>
      <c r="IM42" s="2"/>
      <c r="IN42" s="2"/>
      <c r="IO42" s="2"/>
      <c r="IP42" s="2"/>
      <c r="IQ42" s="2"/>
      <c r="IR42" s="2"/>
      <c r="IS42" s="2"/>
      <c r="IT42" s="2"/>
      <c r="IU42" s="2"/>
    </row>
    <row r="43" spans="1:255">
      <c r="A43">
        <v>17</v>
      </c>
      <c r="B43">
        <v>1</v>
      </c>
      <c r="C43">
        <f>ROW(SmtRes!A20)</f>
        <v>20</v>
      </c>
      <c r="D43">
        <f>ROW(EtalonRes!A20)</f>
        <v>20</v>
      </c>
      <c r="E43" t="s">
        <v>75</v>
      </c>
      <c r="F43" t="s">
        <v>76</v>
      </c>
      <c r="G43" t="s">
        <v>77</v>
      </c>
      <c r="H43" t="s">
        <v>73</v>
      </c>
      <c r="I43">
        <v>0</v>
      </c>
      <c r="J43">
        <v>0</v>
      </c>
      <c r="K43">
        <v>0</v>
      </c>
      <c r="O43">
        <f t="shared" si="58"/>
        <v>0</v>
      </c>
      <c r="P43">
        <f t="shared" si="59"/>
        <v>0</v>
      </c>
      <c r="Q43">
        <f t="shared" si="60"/>
        <v>0</v>
      </c>
      <c r="R43">
        <f t="shared" si="61"/>
        <v>0</v>
      </c>
      <c r="S43">
        <f t="shared" si="62"/>
        <v>0</v>
      </c>
      <c r="T43">
        <f t="shared" si="63"/>
        <v>0</v>
      </c>
      <c r="U43">
        <f t="shared" si="64"/>
        <v>0</v>
      </c>
      <c r="V43">
        <f t="shared" si="65"/>
        <v>0</v>
      </c>
      <c r="W43">
        <f t="shared" si="66"/>
        <v>0</v>
      </c>
      <c r="X43">
        <f t="shared" si="67"/>
        <v>0</v>
      </c>
      <c r="Y43">
        <f t="shared" si="68"/>
        <v>0</v>
      </c>
      <c r="AA43">
        <v>73147422</v>
      </c>
      <c r="AB43">
        <f t="shared" si="69"/>
        <v>12.17</v>
      </c>
      <c r="AC43">
        <f t="shared" si="70"/>
        <v>0</v>
      </c>
      <c r="AD43">
        <f t="shared" si="71"/>
        <v>0</v>
      </c>
      <c r="AE43">
        <f t="shared" si="72"/>
        <v>0</v>
      </c>
      <c r="AF43">
        <f t="shared" si="73"/>
        <v>12.17</v>
      </c>
      <c r="AG43">
        <f t="shared" si="74"/>
        <v>0</v>
      </c>
      <c r="AH43">
        <f t="shared" si="75"/>
        <v>1.61</v>
      </c>
      <c r="AI43">
        <f t="shared" si="76"/>
        <v>0</v>
      </c>
      <c r="AJ43">
        <f t="shared" si="77"/>
        <v>0</v>
      </c>
      <c r="AK43">
        <v>12.17</v>
      </c>
      <c r="AL43">
        <v>0</v>
      </c>
      <c r="AM43">
        <v>0</v>
      </c>
      <c r="AN43">
        <v>0</v>
      </c>
      <c r="AO43">
        <v>12.17</v>
      </c>
      <c r="AP43">
        <v>0</v>
      </c>
      <c r="AQ43">
        <v>1.61</v>
      </c>
      <c r="AR43">
        <v>0</v>
      </c>
      <c r="AS43">
        <v>0</v>
      </c>
      <c r="AT43">
        <v>102</v>
      </c>
      <c r="AU43">
        <v>54</v>
      </c>
      <c r="AV43">
        <v>1</v>
      </c>
      <c r="AW43">
        <v>1</v>
      </c>
      <c r="AZ43">
        <v>1</v>
      </c>
      <c r="BA43">
        <v>24.24</v>
      </c>
      <c r="BB43">
        <v>1</v>
      </c>
      <c r="BC43">
        <v>1</v>
      </c>
      <c r="BD43" t="s">
        <v>3</v>
      </c>
      <c r="BE43" t="s">
        <v>3</v>
      </c>
      <c r="BF43" t="s">
        <v>3</v>
      </c>
      <c r="BG43" t="s">
        <v>3</v>
      </c>
      <c r="BH43">
        <v>0</v>
      </c>
      <c r="BI43">
        <v>1</v>
      </c>
      <c r="BJ43" t="s">
        <v>78</v>
      </c>
      <c r="BM43">
        <v>68001</v>
      </c>
      <c r="BN43">
        <v>0</v>
      </c>
      <c r="BO43" t="s">
        <v>3</v>
      </c>
      <c r="BP43">
        <v>0</v>
      </c>
      <c r="BQ43">
        <v>6</v>
      </c>
      <c r="BR43">
        <v>0</v>
      </c>
      <c r="BS43">
        <v>24.24</v>
      </c>
      <c r="BT43">
        <v>1</v>
      </c>
      <c r="BU43">
        <v>1</v>
      </c>
      <c r="BV43">
        <v>1</v>
      </c>
      <c r="BW43">
        <v>1</v>
      </c>
      <c r="BX43">
        <v>1</v>
      </c>
      <c r="BY43" t="s">
        <v>3</v>
      </c>
      <c r="BZ43">
        <v>102</v>
      </c>
      <c r="CA43">
        <v>54</v>
      </c>
      <c r="CB43" t="s">
        <v>3</v>
      </c>
      <c r="CE43">
        <v>0</v>
      </c>
      <c r="CF43">
        <v>0</v>
      </c>
      <c r="CG43">
        <v>0</v>
      </c>
      <c r="CM43">
        <v>0</v>
      </c>
      <c r="CN43" t="s">
        <v>3</v>
      </c>
      <c r="CO43">
        <v>0</v>
      </c>
      <c r="CP43">
        <f t="shared" si="78"/>
        <v>0</v>
      </c>
      <c r="CQ43">
        <f t="shared" si="79"/>
        <v>0</v>
      </c>
      <c r="CR43">
        <f t="shared" si="80"/>
        <v>0</v>
      </c>
      <c r="CS43">
        <f t="shared" si="81"/>
        <v>0</v>
      </c>
      <c r="CT43">
        <f t="shared" si="82"/>
        <v>12.17</v>
      </c>
      <c r="CU43">
        <f t="shared" si="83"/>
        <v>0</v>
      </c>
      <c r="CV43">
        <f t="shared" si="84"/>
        <v>1.61</v>
      </c>
      <c r="CW43">
        <f t="shared" si="85"/>
        <v>0</v>
      </c>
      <c r="CX43">
        <f t="shared" si="86"/>
        <v>0</v>
      </c>
      <c r="CY43">
        <f t="shared" si="87"/>
        <v>0</v>
      </c>
      <c r="CZ43">
        <f t="shared" si="88"/>
        <v>0</v>
      </c>
      <c r="DC43" t="s">
        <v>3</v>
      </c>
      <c r="DD43" t="s">
        <v>3</v>
      </c>
      <c r="DE43" t="s">
        <v>3</v>
      </c>
      <c r="DF43" t="s">
        <v>3</v>
      </c>
      <c r="DG43" t="s">
        <v>3</v>
      </c>
      <c r="DH43" t="s">
        <v>3</v>
      </c>
      <c r="DI43" t="s">
        <v>3</v>
      </c>
      <c r="DJ43" t="s">
        <v>3</v>
      </c>
      <c r="DK43" t="s">
        <v>3</v>
      </c>
      <c r="DL43" t="s">
        <v>3</v>
      </c>
      <c r="DM43" t="s">
        <v>3</v>
      </c>
      <c r="DN43">
        <v>0</v>
      </c>
      <c r="DO43">
        <v>0</v>
      </c>
      <c r="DP43">
        <v>1</v>
      </c>
      <c r="DQ43">
        <v>1</v>
      </c>
      <c r="DU43">
        <v>1013</v>
      </c>
      <c r="DV43" t="s">
        <v>73</v>
      </c>
      <c r="DW43" t="s">
        <v>73</v>
      </c>
      <c r="DX43">
        <v>1</v>
      </c>
      <c r="DZ43" t="s">
        <v>3</v>
      </c>
      <c r="EA43" t="s">
        <v>3</v>
      </c>
      <c r="EB43" t="s">
        <v>3</v>
      </c>
      <c r="EC43" t="s">
        <v>3</v>
      </c>
      <c r="EE43">
        <v>65361239</v>
      </c>
      <c r="EF43">
        <v>6</v>
      </c>
      <c r="EG43" t="s">
        <v>23</v>
      </c>
      <c r="EH43">
        <v>102</v>
      </c>
      <c r="EI43" t="s">
        <v>24</v>
      </c>
      <c r="EJ43">
        <v>1</v>
      </c>
      <c r="EK43">
        <v>68001</v>
      </c>
      <c r="EL43" t="s">
        <v>24</v>
      </c>
      <c r="EM43" t="s">
        <v>25</v>
      </c>
      <c r="EO43" t="s">
        <v>3</v>
      </c>
      <c r="EQ43">
        <v>0</v>
      </c>
      <c r="ER43">
        <v>12.17</v>
      </c>
      <c r="ES43">
        <v>0</v>
      </c>
      <c r="ET43">
        <v>0</v>
      </c>
      <c r="EU43">
        <v>0</v>
      </c>
      <c r="EV43">
        <v>12.17</v>
      </c>
      <c r="EW43">
        <v>1.61</v>
      </c>
      <c r="EX43">
        <v>0</v>
      </c>
      <c r="EY43">
        <v>0</v>
      </c>
      <c r="FQ43">
        <v>0</v>
      </c>
      <c r="FR43">
        <f t="shared" si="45"/>
        <v>0</v>
      </c>
      <c r="FS43">
        <v>0</v>
      </c>
      <c r="FX43">
        <v>102</v>
      </c>
      <c r="FY43">
        <v>54</v>
      </c>
      <c r="GA43" t="s">
        <v>3</v>
      </c>
      <c r="GD43">
        <v>1</v>
      </c>
      <c r="GF43">
        <v>-855410789</v>
      </c>
      <c r="GG43">
        <v>2</v>
      </c>
      <c r="GH43">
        <v>1</v>
      </c>
      <c r="GI43">
        <v>4</v>
      </c>
      <c r="GJ43">
        <v>0</v>
      </c>
      <c r="GK43">
        <v>0</v>
      </c>
      <c r="GL43">
        <f t="shared" si="46"/>
        <v>0</v>
      </c>
      <c r="GM43">
        <f t="shared" si="89"/>
        <v>0</v>
      </c>
      <c r="GN43">
        <f t="shared" si="90"/>
        <v>0</v>
      </c>
      <c r="GO43">
        <f t="shared" si="91"/>
        <v>0</v>
      </c>
      <c r="GP43">
        <f t="shared" si="92"/>
        <v>0</v>
      </c>
      <c r="GR43">
        <v>0</v>
      </c>
      <c r="GS43">
        <v>3</v>
      </c>
      <c r="GT43">
        <v>0</v>
      </c>
      <c r="GU43" t="s">
        <v>3</v>
      </c>
      <c r="GV43">
        <f t="shared" si="93"/>
        <v>0</v>
      </c>
      <c r="GW43">
        <v>1</v>
      </c>
      <c r="GX43">
        <f t="shared" si="94"/>
        <v>0</v>
      </c>
      <c r="HA43">
        <v>0</v>
      </c>
      <c r="HB43">
        <v>0</v>
      </c>
      <c r="HC43">
        <f t="shared" si="95"/>
        <v>0</v>
      </c>
      <c r="HE43" t="s">
        <v>3</v>
      </c>
      <c r="HF43" t="s">
        <v>3</v>
      </c>
      <c r="HI43">
        <f t="shared" si="54"/>
        <v>0</v>
      </c>
      <c r="HJ43">
        <f t="shared" si="55"/>
        <v>0</v>
      </c>
      <c r="HK43">
        <f t="shared" si="96"/>
        <v>0</v>
      </c>
      <c r="HL43">
        <f t="shared" si="97"/>
        <v>0</v>
      </c>
      <c r="HM43" t="s">
        <v>3</v>
      </c>
      <c r="HN43" t="s">
        <v>26</v>
      </c>
      <c r="HO43" t="s">
        <v>27</v>
      </c>
      <c r="HP43" t="s">
        <v>24</v>
      </c>
      <c r="HQ43" t="s">
        <v>24</v>
      </c>
      <c r="IK43">
        <v>0</v>
      </c>
    </row>
    <row r="44" spans="1:255">
      <c r="A44" s="2">
        <v>17</v>
      </c>
      <c r="B44" s="2">
        <v>1</v>
      </c>
      <c r="C44" s="2">
        <f>ROW(SmtRes!A23)</f>
        <v>23</v>
      </c>
      <c r="D44" s="2">
        <f>ROW(EtalonRes!A23)</f>
        <v>23</v>
      </c>
      <c r="E44" s="2" t="s">
        <v>79</v>
      </c>
      <c r="F44" s="2" t="s">
        <v>67</v>
      </c>
      <c r="G44" s="2" t="s">
        <v>80</v>
      </c>
      <c r="H44" s="2" t="s">
        <v>21</v>
      </c>
      <c r="I44" s="2">
        <v>0</v>
      </c>
      <c r="J44" s="2">
        <v>0</v>
      </c>
      <c r="K44" s="2">
        <v>0</v>
      </c>
      <c r="L44" s="2"/>
      <c r="M44" s="2"/>
      <c r="N44" s="2"/>
      <c r="O44" s="2">
        <f t="shared" si="58"/>
        <v>0</v>
      </c>
      <c r="P44" s="2">
        <f t="shared" si="59"/>
        <v>0</v>
      </c>
      <c r="Q44" s="2">
        <f t="shared" si="60"/>
        <v>0</v>
      </c>
      <c r="R44" s="2">
        <f t="shared" si="61"/>
        <v>0</v>
      </c>
      <c r="S44" s="2">
        <f t="shared" si="62"/>
        <v>0</v>
      </c>
      <c r="T44" s="2">
        <f t="shared" si="63"/>
        <v>0</v>
      </c>
      <c r="U44" s="2">
        <f t="shared" si="64"/>
        <v>0</v>
      </c>
      <c r="V44" s="2">
        <f t="shared" si="65"/>
        <v>0</v>
      </c>
      <c r="W44" s="2">
        <f t="shared" si="66"/>
        <v>0</v>
      </c>
      <c r="X44" s="2">
        <f t="shared" si="67"/>
        <v>0</v>
      </c>
      <c r="Y44" s="2">
        <f t="shared" si="68"/>
        <v>0</v>
      </c>
      <c r="Z44" s="2"/>
      <c r="AA44" s="2">
        <v>73147424</v>
      </c>
      <c r="AB44" s="2">
        <f t="shared" si="69"/>
        <v>323.51</v>
      </c>
      <c r="AC44" s="2">
        <f t="shared" si="70"/>
        <v>0</v>
      </c>
      <c r="AD44" s="2">
        <f t="shared" si="71"/>
        <v>295.94</v>
      </c>
      <c r="AE44" s="2">
        <f t="shared" si="72"/>
        <v>17.170000000000002</v>
      </c>
      <c r="AF44" s="2">
        <f t="shared" si="73"/>
        <v>27.57</v>
      </c>
      <c r="AG44" s="2">
        <f t="shared" si="74"/>
        <v>0</v>
      </c>
      <c r="AH44" s="2">
        <f t="shared" si="75"/>
        <v>3.04</v>
      </c>
      <c r="AI44" s="2">
        <f t="shared" si="76"/>
        <v>1.48</v>
      </c>
      <c r="AJ44" s="2">
        <f t="shared" si="77"/>
        <v>0</v>
      </c>
      <c r="AK44" s="2">
        <v>323.51</v>
      </c>
      <c r="AL44" s="2">
        <v>0</v>
      </c>
      <c r="AM44" s="2">
        <v>295.94</v>
      </c>
      <c r="AN44" s="2">
        <v>17.170000000000002</v>
      </c>
      <c r="AO44" s="2">
        <v>27.57</v>
      </c>
      <c r="AP44" s="2">
        <v>0</v>
      </c>
      <c r="AQ44" s="2">
        <v>3.04</v>
      </c>
      <c r="AR44" s="2">
        <v>1.48</v>
      </c>
      <c r="AS44" s="2">
        <v>0</v>
      </c>
      <c r="AT44" s="2">
        <v>102</v>
      </c>
      <c r="AU44" s="2">
        <v>54</v>
      </c>
      <c r="AV44" s="2">
        <v>1</v>
      </c>
      <c r="AW44" s="2">
        <v>1</v>
      </c>
      <c r="AX44" s="2"/>
      <c r="AY44" s="2"/>
      <c r="AZ44" s="2">
        <v>1</v>
      </c>
      <c r="BA44" s="2">
        <v>1</v>
      </c>
      <c r="BB44" s="2">
        <v>1</v>
      </c>
      <c r="BC44" s="2">
        <v>1</v>
      </c>
      <c r="BD44" s="2" t="s">
        <v>3</v>
      </c>
      <c r="BE44" s="2" t="s">
        <v>3</v>
      </c>
      <c r="BF44" s="2" t="s">
        <v>3</v>
      </c>
      <c r="BG44" s="2" t="s">
        <v>3</v>
      </c>
      <c r="BH44" s="2">
        <v>0</v>
      </c>
      <c r="BI44" s="2">
        <v>1</v>
      </c>
      <c r="BJ44" s="2" t="s">
        <v>69</v>
      </c>
      <c r="BK44" s="2"/>
      <c r="BL44" s="2"/>
      <c r="BM44" s="2">
        <v>68001</v>
      </c>
      <c r="BN44" s="2">
        <v>0</v>
      </c>
      <c r="BO44" s="2" t="s">
        <v>3</v>
      </c>
      <c r="BP44" s="2">
        <v>0</v>
      </c>
      <c r="BQ44" s="2">
        <v>6</v>
      </c>
      <c r="BR44" s="2">
        <v>0</v>
      </c>
      <c r="BS44" s="2">
        <v>1</v>
      </c>
      <c r="BT44" s="2">
        <v>1</v>
      </c>
      <c r="BU44" s="2">
        <v>1</v>
      </c>
      <c r="BV44" s="2">
        <v>1</v>
      </c>
      <c r="BW44" s="2">
        <v>1</v>
      </c>
      <c r="BX44" s="2">
        <v>1</v>
      </c>
      <c r="BY44" s="2" t="s">
        <v>3</v>
      </c>
      <c r="BZ44" s="2">
        <v>102</v>
      </c>
      <c r="CA44" s="2">
        <v>54</v>
      </c>
      <c r="CB44" s="2" t="s">
        <v>3</v>
      </c>
      <c r="CC44" s="2"/>
      <c r="CD44" s="2"/>
      <c r="CE44" s="2">
        <v>0</v>
      </c>
      <c r="CF44" s="2">
        <v>0</v>
      </c>
      <c r="CG44" s="2">
        <v>0</v>
      </c>
      <c r="CH44" s="2"/>
      <c r="CI44" s="2"/>
      <c r="CJ44" s="2"/>
      <c r="CK44" s="2"/>
      <c r="CL44" s="2"/>
      <c r="CM44" s="2">
        <v>0</v>
      </c>
      <c r="CN44" s="2" t="s">
        <v>3</v>
      </c>
      <c r="CO44" s="2">
        <v>0</v>
      </c>
      <c r="CP44" s="2">
        <f t="shared" si="78"/>
        <v>0</v>
      </c>
      <c r="CQ44" s="2">
        <f t="shared" si="79"/>
        <v>0</v>
      </c>
      <c r="CR44" s="2">
        <f t="shared" si="80"/>
        <v>295.94</v>
      </c>
      <c r="CS44" s="2">
        <f t="shared" si="81"/>
        <v>17.170000000000002</v>
      </c>
      <c r="CT44" s="2">
        <f t="shared" si="82"/>
        <v>27.57</v>
      </c>
      <c r="CU44" s="2">
        <f t="shared" si="83"/>
        <v>0</v>
      </c>
      <c r="CV44" s="2">
        <f t="shared" si="84"/>
        <v>3.04</v>
      </c>
      <c r="CW44" s="2">
        <f t="shared" si="85"/>
        <v>1.48</v>
      </c>
      <c r="CX44" s="2">
        <f t="shared" si="86"/>
        <v>0</v>
      </c>
      <c r="CY44" s="2">
        <f t="shared" si="87"/>
        <v>0</v>
      </c>
      <c r="CZ44" s="2">
        <f t="shared" si="88"/>
        <v>0</v>
      </c>
      <c r="DA44" s="2"/>
      <c r="DB44" s="2"/>
      <c r="DC44" s="2" t="s">
        <v>3</v>
      </c>
      <c r="DD44" s="2" t="s">
        <v>3</v>
      </c>
      <c r="DE44" s="2" t="s">
        <v>3</v>
      </c>
      <c r="DF44" s="2" t="s">
        <v>3</v>
      </c>
      <c r="DG44" s="2" t="s">
        <v>3</v>
      </c>
      <c r="DH44" s="2" t="s">
        <v>3</v>
      </c>
      <c r="DI44" s="2" t="s">
        <v>3</v>
      </c>
      <c r="DJ44" s="2" t="s">
        <v>3</v>
      </c>
      <c r="DK44" s="2" t="s">
        <v>3</v>
      </c>
      <c r="DL44" s="2" t="s">
        <v>3</v>
      </c>
      <c r="DM44" s="2" t="s">
        <v>3</v>
      </c>
      <c r="DN44" s="2">
        <v>0</v>
      </c>
      <c r="DO44" s="2">
        <v>0</v>
      </c>
      <c r="DP44" s="2">
        <v>1</v>
      </c>
      <c r="DQ44" s="2">
        <v>1</v>
      </c>
      <c r="DR44" s="2"/>
      <c r="DS44" s="2"/>
      <c r="DT44" s="2"/>
      <c r="DU44" s="2">
        <v>1007</v>
      </c>
      <c r="DV44" s="2" t="s">
        <v>21</v>
      </c>
      <c r="DW44" s="2" t="s">
        <v>21</v>
      </c>
      <c r="DX44" s="2">
        <v>1</v>
      </c>
      <c r="DY44" s="2"/>
      <c r="DZ44" s="2" t="s">
        <v>3</v>
      </c>
      <c r="EA44" s="2" t="s">
        <v>3</v>
      </c>
      <c r="EB44" s="2" t="s">
        <v>3</v>
      </c>
      <c r="EC44" s="2" t="s">
        <v>3</v>
      </c>
      <c r="ED44" s="2"/>
      <c r="EE44" s="2">
        <v>65361239</v>
      </c>
      <c r="EF44" s="2">
        <v>6</v>
      </c>
      <c r="EG44" s="2" t="s">
        <v>23</v>
      </c>
      <c r="EH44" s="2">
        <v>102</v>
      </c>
      <c r="EI44" s="2" t="s">
        <v>24</v>
      </c>
      <c r="EJ44" s="2">
        <v>1</v>
      </c>
      <c r="EK44" s="2">
        <v>68001</v>
      </c>
      <c r="EL44" s="2" t="s">
        <v>24</v>
      </c>
      <c r="EM44" s="2" t="s">
        <v>25</v>
      </c>
      <c r="EN44" s="2"/>
      <c r="EO44" s="2" t="s">
        <v>3</v>
      </c>
      <c r="EP44" s="2"/>
      <c r="EQ44" s="2">
        <v>0</v>
      </c>
      <c r="ER44" s="2">
        <v>323.51</v>
      </c>
      <c r="ES44" s="2">
        <v>0</v>
      </c>
      <c r="ET44" s="2">
        <v>295.94</v>
      </c>
      <c r="EU44" s="2">
        <v>17.170000000000002</v>
      </c>
      <c r="EV44" s="2">
        <v>27.57</v>
      </c>
      <c r="EW44" s="2">
        <v>3.04</v>
      </c>
      <c r="EX44" s="2">
        <v>1.48</v>
      </c>
      <c r="EY44" s="2">
        <v>0</v>
      </c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>
        <v>0</v>
      </c>
      <c r="FR44" s="2">
        <f t="shared" si="45"/>
        <v>0</v>
      </c>
      <c r="FS44" s="2">
        <v>0</v>
      </c>
      <c r="FT44" s="2"/>
      <c r="FU44" s="2"/>
      <c r="FV44" s="2"/>
      <c r="FW44" s="2"/>
      <c r="FX44" s="2">
        <v>102</v>
      </c>
      <c r="FY44" s="2">
        <v>54</v>
      </c>
      <c r="FZ44" s="2"/>
      <c r="GA44" s="2" t="s">
        <v>3</v>
      </c>
      <c r="GB44" s="2"/>
      <c r="GC44" s="2"/>
      <c r="GD44" s="2">
        <v>1</v>
      </c>
      <c r="GE44" s="2"/>
      <c r="GF44" s="2">
        <v>257184337</v>
      </c>
      <c r="GG44" s="2">
        <v>2</v>
      </c>
      <c r="GH44" s="2">
        <v>1</v>
      </c>
      <c r="GI44" s="2">
        <v>-2</v>
      </c>
      <c r="GJ44" s="2">
        <v>0</v>
      </c>
      <c r="GK44" s="2">
        <v>0</v>
      </c>
      <c r="GL44" s="2">
        <f t="shared" si="46"/>
        <v>0</v>
      </c>
      <c r="GM44" s="2">
        <f t="shared" si="89"/>
        <v>0</v>
      </c>
      <c r="GN44" s="2">
        <f t="shared" si="90"/>
        <v>0</v>
      </c>
      <c r="GO44" s="2">
        <f t="shared" si="91"/>
        <v>0</v>
      </c>
      <c r="GP44" s="2">
        <f t="shared" si="92"/>
        <v>0</v>
      </c>
      <c r="GQ44" s="2"/>
      <c r="GR44" s="2">
        <v>0</v>
      </c>
      <c r="GS44" s="2">
        <v>3</v>
      </c>
      <c r="GT44" s="2">
        <v>0</v>
      </c>
      <c r="GU44" s="2" t="s">
        <v>3</v>
      </c>
      <c r="GV44" s="2">
        <f t="shared" si="93"/>
        <v>0</v>
      </c>
      <c r="GW44" s="2">
        <v>1</v>
      </c>
      <c r="GX44" s="2">
        <f t="shared" si="94"/>
        <v>0</v>
      </c>
      <c r="GY44" s="2"/>
      <c r="GZ44" s="2"/>
      <c r="HA44" s="2">
        <v>0</v>
      </c>
      <c r="HB44" s="2">
        <v>0</v>
      </c>
      <c r="HC44" s="2">
        <f t="shared" si="95"/>
        <v>0</v>
      </c>
      <c r="HD44" s="2"/>
      <c r="HE44" s="2" t="s">
        <v>3</v>
      </c>
      <c r="HF44" s="2" t="s">
        <v>3</v>
      </c>
      <c r="HG44" s="2"/>
      <c r="HH44" s="2"/>
      <c r="HI44" s="2">
        <f t="shared" si="54"/>
        <v>0</v>
      </c>
      <c r="HJ44" s="2">
        <f t="shared" si="55"/>
        <v>0</v>
      </c>
      <c r="HK44" s="2">
        <f t="shared" si="96"/>
        <v>0</v>
      </c>
      <c r="HL44" s="2">
        <f t="shared" si="97"/>
        <v>0</v>
      </c>
      <c r="HM44" s="2" t="s">
        <v>3</v>
      </c>
      <c r="HN44" s="2" t="s">
        <v>26</v>
      </c>
      <c r="HO44" s="2" t="s">
        <v>27</v>
      </c>
      <c r="HP44" s="2" t="s">
        <v>24</v>
      </c>
      <c r="HQ44" s="2" t="s">
        <v>24</v>
      </c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>
        <v>0</v>
      </c>
      <c r="IL44" s="2"/>
      <c r="IM44" s="2"/>
      <c r="IN44" s="2"/>
      <c r="IO44" s="2"/>
      <c r="IP44" s="2"/>
      <c r="IQ44" s="2"/>
      <c r="IR44" s="2"/>
      <c r="IS44" s="2"/>
      <c r="IT44" s="2"/>
      <c r="IU44" s="2"/>
    </row>
    <row r="45" spans="1:255">
      <c r="A45">
        <v>17</v>
      </c>
      <c r="B45">
        <v>1</v>
      </c>
      <c r="C45">
        <f>ROW(SmtRes!A26)</f>
        <v>26</v>
      </c>
      <c r="D45">
        <f>ROW(EtalonRes!A26)</f>
        <v>26</v>
      </c>
      <c r="E45" t="s">
        <v>79</v>
      </c>
      <c r="F45" t="s">
        <v>67</v>
      </c>
      <c r="G45" t="s">
        <v>80</v>
      </c>
      <c r="H45" t="s">
        <v>21</v>
      </c>
      <c r="I45">
        <v>0</v>
      </c>
      <c r="J45">
        <v>0</v>
      </c>
      <c r="K45">
        <v>0</v>
      </c>
      <c r="O45">
        <f t="shared" si="58"/>
        <v>0</v>
      </c>
      <c r="P45">
        <f t="shared" si="59"/>
        <v>0</v>
      </c>
      <c r="Q45">
        <f t="shared" si="60"/>
        <v>0</v>
      </c>
      <c r="R45">
        <f t="shared" si="61"/>
        <v>0</v>
      </c>
      <c r="S45">
        <f t="shared" si="62"/>
        <v>0</v>
      </c>
      <c r="T45">
        <f t="shared" si="63"/>
        <v>0</v>
      </c>
      <c r="U45">
        <f t="shared" si="64"/>
        <v>0</v>
      </c>
      <c r="V45">
        <f t="shared" si="65"/>
        <v>0</v>
      </c>
      <c r="W45">
        <f t="shared" si="66"/>
        <v>0</v>
      </c>
      <c r="X45">
        <f t="shared" si="67"/>
        <v>0</v>
      </c>
      <c r="Y45">
        <f t="shared" si="68"/>
        <v>0</v>
      </c>
      <c r="AA45">
        <v>73147422</v>
      </c>
      <c r="AB45">
        <f t="shared" si="69"/>
        <v>323.51</v>
      </c>
      <c r="AC45">
        <f t="shared" si="70"/>
        <v>0</v>
      </c>
      <c r="AD45">
        <f t="shared" si="71"/>
        <v>295.94</v>
      </c>
      <c r="AE45">
        <f t="shared" si="72"/>
        <v>17.170000000000002</v>
      </c>
      <c r="AF45">
        <f t="shared" si="73"/>
        <v>27.57</v>
      </c>
      <c r="AG45">
        <f t="shared" si="74"/>
        <v>0</v>
      </c>
      <c r="AH45">
        <f t="shared" si="75"/>
        <v>3.04</v>
      </c>
      <c r="AI45">
        <f t="shared" si="76"/>
        <v>1.48</v>
      </c>
      <c r="AJ45">
        <f t="shared" si="77"/>
        <v>0</v>
      </c>
      <c r="AK45">
        <v>323.51</v>
      </c>
      <c r="AL45">
        <v>0</v>
      </c>
      <c r="AM45">
        <v>295.94</v>
      </c>
      <c r="AN45">
        <v>17.170000000000002</v>
      </c>
      <c r="AO45">
        <v>27.57</v>
      </c>
      <c r="AP45">
        <v>0</v>
      </c>
      <c r="AQ45">
        <v>3.04</v>
      </c>
      <c r="AR45">
        <v>1.48</v>
      </c>
      <c r="AS45">
        <v>0</v>
      </c>
      <c r="AT45">
        <v>102</v>
      </c>
      <c r="AU45">
        <v>54</v>
      </c>
      <c r="AV45">
        <v>1</v>
      </c>
      <c r="AW45">
        <v>1</v>
      </c>
      <c r="AZ45">
        <v>1</v>
      </c>
      <c r="BA45">
        <v>24.24</v>
      </c>
      <c r="BB45">
        <v>1</v>
      </c>
      <c r="BC45">
        <v>1</v>
      </c>
      <c r="BD45" t="s">
        <v>3</v>
      </c>
      <c r="BE45" t="s">
        <v>3</v>
      </c>
      <c r="BF45" t="s">
        <v>3</v>
      </c>
      <c r="BG45" t="s">
        <v>3</v>
      </c>
      <c r="BH45">
        <v>0</v>
      </c>
      <c r="BI45">
        <v>1</v>
      </c>
      <c r="BJ45" t="s">
        <v>69</v>
      </c>
      <c r="BM45">
        <v>68001</v>
      </c>
      <c r="BN45">
        <v>0</v>
      </c>
      <c r="BO45" t="s">
        <v>3</v>
      </c>
      <c r="BP45">
        <v>0</v>
      </c>
      <c r="BQ45">
        <v>6</v>
      </c>
      <c r="BR45">
        <v>0</v>
      </c>
      <c r="BS45">
        <v>24.24</v>
      </c>
      <c r="BT45">
        <v>1</v>
      </c>
      <c r="BU45">
        <v>1</v>
      </c>
      <c r="BV45">
        <v>1</v>
      </c>
      <c r="BW45">
        <v>1</v>
      </c>
      <c r="BX45">
        <v>1</v>
      </c>
      <c r="BY45" t="s">
        <v>3</v>
      </c>
      <c r="BZ45">
        <v>102</v>
      </c>
      <c r="CA45">
        <v>54</v>
      </c>
      <c r="CB45" t="s">
        <v>3</v>
      </c>
      <c r="CE45">
        <v>0</v>
      </c>
      <c r="CF45">
        <v>0</v>
      </c>
      <c r="CG45">
        <v>0</v>
      </c>
      <c r="CM45">
        <v>0</v>
      </c>
      <c r="CN45" t="s">
        <v>3</v>
      </c>
      <c r="CO45">
        <v>0</v>
      </c>
      <c r="CP45">
        <f t="shared" si="78"/>
        <v>0</v>
      </c>
      <c r="CQ45">
        <f t="shared" si="79"/>
        <v>0</v>
      </c>
      <c r="CR45">
        <f t="shared" si="80"/>
        <v>295.94</v>
      </c>
      <c r="CS45">
        <f t="shared" si="81"/>
        <v>17.170000000000002</v>
      </c>
      <c r="CT45">
        <f t="shared" si="82"/>
        <v>27.57</v>
      </c>
      <c r="CU45">
        <f t="shared" si="83"/>
        <v>0</v>
      </c>
      <c r="CV45">
        <f t="shared" si="84"/>
        <v>3.04</v>
      </c>
      <c r="CW45">
        <f t="shared" si="85"/>
        <v>1.48</v>
      </c>
      <c r="CX45">
        <f t="shared" si="86"/>
        <v>0</v>
      </c>
      <c r="CY45">
        <f t="shared" si="87"/>
        <v>0</v>
      </c>
      <c r="CZ45">
        <f t="shared" si="88"/>
        <v>0</v>
      </c>
      <c r="DC45" t="s">
        <v>3</v>
      </c>
      <c r="DD45" t="s">
        <v>3</v>
      </c>
      <c r="DE45" t="s">
        <v>3</v>
      </c>
      <c r="DF45" t="s">
        <v>3</v>
      </c>
      <c r="DG45" t="s">
        <v>3</v>
      </c>
      <c r="DH45" t="s">
        <v>3</v>
      </c>
      <c r="DI45" t="s">
        <v>3</v>
      </c>
      <c r="DJ45" t="s">
        <v>3</v>
      </c>
      <c r="DK45" t="s">
        <v>3</v>
      </c>
      <c r="DL45" t="s">
        <v>3</v>
      </c>
      <c r="DM45" t="s">
        <v>3</v>
      </c>
      <c r="DN45">
        <v>0</v>
      </c>
      <c r="DO45">
        <v>0</v>
      </c>
      <c r="DP45">
        <v>1</v>
      </c>
      <c r="DQ45">
        <v>1</v>
      </c>
      <c r="DU45">
        <v>1007</v>
      </c>
      <c r="DV45" t="s">
        <v>21</v>
      </c>
      <c r="DW45" t="s">
        <v>21</v>
      </c>
      <c r="DX45">
        <v>1</v>
      </c>
      <c r="DZ45" t="s">
        <v>3</v>
      </c>
      <c r="EA45" t="s">
        <v>3</v>
      </c>
      <c r="EB45" t="s">
        <v>3</v>
      </c>
      <c r="EC45" t="s">
        <v>3</v>
      </c>
      <c r="EE45">
        <v>65361239</v>
      </c>
      <c r="EF45">
        <v>6</v>
      </c>
      <c r="EG45" t="s">
        <v>23</v>
      </c>
      <c r="EH45">
        <v>102</v>
      </c>
      <c r="EI45" t="s">
        <v>24</v>
      </c>
      <c r="EJ45">
        <v>1</v>
      </c>
      <c r="EK45">
        <v>68001</v>
      </c>
      <c r="EL45" t="s">
        <v>24</v>
      </c>
      <c r="EM45" t="s">
        <v>25</v>
      </c>
      <c r="EO45" t="s">
        <v>3</v>
      </c>
      <c r="EQ45">
        <v>0</v>
      </c>
      <c r="ER45">
        <v>323.51</v>
      </c>
      <c r="ES45">
        <v>0</v>
      </c>
      <c r="ET45">
        <v>295.94</v>
      </c>
      <c r="EU45">
        <v>17.170000000000002</v>
      </c>
      <c r="EV45">
        <v>27.57</v>
      </c>
      <c r="EW45">
        <v>3.04</v>
      </c>
      <c r="EX45">
        <v>1.48</v>
      </c>
      <c r="EY45">
        <v>0</v>
      </c>
      <c r="FQ45">
        <v>0</v>
      </c>
      <c r="FR45">
        <f t="shared" si="45"/>
        <v>0</v>
      </c>
      <c r="FS45">
        <v>0</v>
      </c>
      <c r="FX45">
        <v>102</v>
      </c>
      <c r="FY45">
        <v>54</v>
      </c>
      <c r="GA45" t="s">
        <v>3</v>
      </c>
      <c r="GD45">
        <v>1</v>
      </c>
      <c r="GF45">
        <v>257184337</v>
      </c>
      <c r="GG45">
        <v>2</v>
      </c>
      <c r="GH45">
        <v>1</v>
      </c>
      <c r="GI45">
        <v>4</v>
      </c>
      <c r="GJ45">
        <v>0</v>
      </c>
      <c r="GK45">
        <v>0</v>
      </c>
      <c r="GL45">
        <f t="shared" si="46"/>
        <v>0</v>
      </c>
      <c r="GM45">
        <f t="shared" si="89"/>
        <v>0</v>
      </c>
      <c r="GN45">
        <f t="shared" si="90"/>
        <v>0</v>
      </c>
      <c r="GO45">
        <f t="shared" si="91"/>
        <v>0</v>
      </c>
      <c r="GP45">
        <f t="shared" si="92"/>
        <v>0</v>
      </c>
      <c r="GR45">
        <v>0</v>
      </c>
      <c r="GS45">
        <v>3</v>
      </c>
      <c r="GT45">
        <v>0</v>
      </c>
      <c r="GU45" t="s">
        <v>3</v>
      </c>
      <c r="GV45">
        <f t="shared" si="93"/>
        <v>0</v>
      </c>
      <c r="GW45">
        <v>1</v>
      </c>
      <c r="GX45">
        <f t="shared" si="94"/>
        <v>0</v>
      </c>
      <c r="HA45">
        <v>0</v>
      </c>
      <c r="HB45">
        <v>0</v>
      </c>
      <c r="HC45">
        <f t="shared" si="95"/>
        <v>0</v>
      </c>
      <c r="HE45" t="s">
        <v>3</v>
      </c>
      <c r="HF45" t="s">
        <v>3</v>
      </c>
      <c r="HI45">
        <f t="shared" si="54"/>
        <v>0</v>
      </c>
      <c r="HJ45">
        <f t="shared" si="55"/>
        <v>0</v>
      </c>
      <c r="HK45">
        <f t="shared" si="96"/>
        <v>0</v>
      </c>
      <c r="HL45">
        <f t="shared" si="97"/>
        <v>0</v>
      </c>
      <c r="HM45" t="s">
        <v>3</v>
      </c>
      <c r="HN45" t="s">
        <v>26</v>
      </c>
      <c r="HO45" t="s">
        <v>27</v>
      </c>
      <c r="HP45" t="s">
        <v>24</v>
      </c>
      <c r="HQ45" t="s">
        <v>24</v>
      </c>
      <c r="IK45">
        <v>0</v>
      </c>
    </row>
    <row r="46" spans="1:255">
      <c r="A46" s="2">
        <v>17</v>
      </c>
      <c r="B46" s="2">
        <v>1</v>
      </c>
      <c r="C46" s="2">
        <f>ROW(SmtRes!A29)</f>
        <v>29</v>
      </c>
      <c r="D46" s="2">
        <f>ROW(EtalonRes!A29)</f>
        <v>29</v>
      </c>
      <c r="E46" s="2" t="s">
        <v>3</v>
      </c>
      <c r="F46" s="2" t="s">
        <v>81</v>
      </c>
      <c r="G46" s="2" t="s">
        <v>82</v>
      </c>
      <c r="H46" s="2" t="s">
        <v>21</v>
      </c>
      <c r="I46" s="2">
        <f>ROUND(ROUND(4.69,4),7)</f>
        <v>4.6900000000000004</v>
      </c>
      <c r="J46" s="2">
        <v>0</v>
      </c>
      <c r="K46" s="2">
        <f>ROUND(ROUND(4.69,4),7)</f>
        <v>4.6900000000000004</v>
      </c>
      <c r="L46" s="2"/>
      <c r="M46" s="2"/>
      <c r="N46" s="2"/>
      <c r="O46" s="2">
        <f t="shared" si="58"/>
        <v>553.66</v>
      </c>
      <c r="P46" s="2">
        <f t="shared" si="59"/>
        <v>0</v>
      </c>
      <c r="Q46" s="2">
        <f t="shared" si="60"/>
        <v>506.43</v>
      </c>
      <c r="R46" s="2">
        <f t="shared" si="61"/>
        <v>29.36</v>
      </c>
      <c r="S46" s="2">
        <f t="shared" si="62"/>
        <v>47.23</v>
      </c>
      <c r="T46" s="2">
        <f t="shared" si="63"/>
        <v>0</v>
      </c>
      <c r="U46" s="2">
        <f t="shared" si="64"/>
        <v>5.2059000000000006</v>
      </c>
      <c r="V46" s="2">
        <f t="shared" si="65"/>
        <v>2.5326000000000004</v>
      </c>
      <c r="W46" s="2">
        <f t="shared" si="66"/>
        <v>0</v>
      </c>
      <c r="X46" s="2">
        <f t="shared" si="67"/>
        <v>78.12</v>
      </c>
      <c r="Y46" s="2">
        <f t="shared" si="68"/>
        <v>41.36</v>
      </c>
      <c r="Z46" s="2"/>
      <c r="AA46" s="2">
        <v>-1</v>
      </c>
      <c r="AB46" s="2">
        <f t="shared" si="69"/>
        <v>118.05</v>
      </c>
      <c r="AC46" s="2">
        <f t="shared" si="70"/>
        <v>0</v>
      </c>
      <c r="AD46" s="2">
        <f t="shared" si="71"/>
        <v>107.98</v>
      </c>
      <c r="AE46" s="2">
        <f t="shared" si="72"/>
        <v>6.26</v>
      </c>
      <c r="AF46" s="2">
        <f t="shared" si="73"/>
        <v>10.07</v>
      </c>
      <c r="AG46" s="2">
        <f t="shared" si="74"/>
        <v>0</v>
      </c>
      <c r="AH46" s="2">
        <f t="shared" si="75"/>
        <v>1.1100000000000001</v>
      </c>
      <c r="AI46" s="2">
        <f t="shared" si="76"/>
        <v>0.54</v>
      </c>
      <c r="AJ46" s="2">
        <f t="shared" si="77"/>
        <v>0</v>
      </c>
      <c r="AK46" s="2">
        <v>118.05</v>
      </c>
      <c r="AL46" s="2">
        <v>0</v>
      </c>
      <c r="AM46" s="2">
        <v>107.98</v>
      </c>
      <c r="AN46" s="2">
        <v>6.26</v>
      </c>
      <c r="AO46" s="2">
        <v>10.07</v>
      </c>
      <c r="AP46" s="2">
        <v>0</v>
      </c>
      <c r="AQ46" s="2">
        <v>1.1100000000000001</v>
      </c>
      <c r="AR46" s="2">
        <v>0.54</v>
      </c>
      <c r="AS46" s="2">
        <v>0</v>
      </c>
      <c r="AT46" s="2">
        <v>102</v>
      </c>
      <c r="AU46" s="2">
        <v>54</v>
      </c>
      <c r="AV46" s="2">
        <v>1</v>
      </c>
      <c r="AW46" s="2">
        <v>1</v>
      </c>
      <c r="AX46" s="2"/>
      <c r="AY46" s="2"/>
      <c r="AZ46" s="2">
        <v>1</v>
      </c>
      <c r="BA46" s="2">
        <v>1</v>
      </c>
      <c r="BB46" s="2">
        <v>1</v>
      </c>
      <c r="BC46" s="2">
        <v>1</v>
      </c>
      <c r="BD46" s="2" t="s">
        <v>3</v>
      </c>
      <c r="BE46" s="2" t="s">
        <v>3</v>
      </c>
      <c r="BF46" s="2" t="s">
        <v>3</v>
      </c>
      <c r="BG46" s="2" t="s">
        <v>3</v>
      </c>
      <c r="BH46" s="2">
        <v>0</v>
      </c>
      <c r="BI46" s="2">
        <v>1</v>
      </c>
      <c r="BJ46" s="2" t="s">
        <v>83</v>
      </c>
      <c r="BK46" s="2"/>
      <c r="BL46" s="2"/>
      <c r="BM46" s="2">
        <v>68001</v>
      </c>
      <c r="BN46" s="2">
        <v>0</v>
      </c>
      <c r="BO46" s="2" t="s">
        <v>3</v>
      </c>
      <c r="BP46" s="2">
        <v>0</v>
      </c>
      <c r="BQ46" s="2">
        <v>6</v>
      </c>
      <c r="BR46" s="2">
        <v>0</v>
      </c>
      <c r="BS46" s="2">
        <v>1</v>
      </c>
      <c r="BT46" s="2">
        <v>1</v>
      </c>
      <c r="BU46" s="2">
        <v>1</v>
      </c>
      <c r="BV46" s="2">
        <v>1</v>
      </c>
      <c r="BW46" s="2">
        <v>1</v>
      </c>
      <c r="BX46" s="2">
        <v>1</v>
      </c>
      <c r="BY46" s="2" t="s">
        <v>3</v>
      </c>
      <c r="BZ46" s="2">
        <v>102</v>
      </c>
      <c r="CA46" s="2">
        <v>54</v>
      </c>
      <c r="CB46" s="2" t="s">
        <v>3</v>
      </c>
      <c r="CC46" s="2"/>
      <c r="CD46" s="2"/>
      <c r="CE46" s="2">
        <v>0</v>
      </c>
      <c r="CF46" s="2">
        <v>0</v>
      </c>
      <c r="CG46" s="2">
        <v>0</v>
      </c>
      <c r="CH46" s="2"/>
      <c r="CI46" s="2"/>
      <c r="CJ46" s="2"/>
      <c r="CK46" s="2"/>
      <c r="CL46" s="2"/>
      <c r="CM46" s="2">
        <v>0</v>
      </c>
      <c r="CN46" s="2" t="s">
        <v>3</v>
      </c>
      <c r="CO46" s="2">
        <v>0</v>
      </c>
      <c r="CP46" s="2">
        <f t="shared" si="78"/>
        <v>553.66</v>
      </c>
      <c r="CQ46" s="2">
        <f t="shared" si="79"/>
        <v>0</v>
      </c>
      <c r="CR46" s="2">
        <f t="shared" si="80"/>
        <v>107.98</v>
      </c>
      <c r="CS46" s="2">
        <f t="shared" si="81"/>
        <v>6.26</v>
      </c>
      <c r="CT46" s="2">
        <f t="shared" si="82"/>
        <v>10.07</v>
      </c>
      <c r="CU46" s="2">
        <f t="shared" si="83"/>
        <v>0</v>
      </c>
      <c r="CV46" s="2">
        <f t="shared" si="84"/>
        <v>1.1100000000000001</v>
      </c>
      <c r="CW46" s="2">
        <f t="shared" si="85"/>
        <v>0.54</v>
      </c>
      <c r="CX46" s="2">
        <f t="shared" si="86"/>
        <v>0</v>
      </c>
      <c r="CY46" s="2">
        <f t="shared" si="87"/>
        <v>78.121800000000007</v>
      </c>
      <c r="CZ46" s="2">
        <f t="shared" si="88"/>
        <v>41.358600000000003</v>
      </c>
      <c r="DA46" s="2"/>
      <c r="DB46" s="2"/>
      <c r="DC46" s="2" t="s">
        <v>3</v>
      </c>
      <c r="DD46" s="2" t="s">
        <v>3</v>
      </c>
      <c r="DE46" s="2" t="s">
        <v>3</v>
      </c>
      <c r="DF46" s="2" t="s">
        <v>3</v>
      </c>
      <c r="DG46" s="2" t="s">
        <v>3</v>
      </c>
      <c r="DH46" s="2" t="s">
        <v>3</v>
      </c>
      <c r="DI46" s="2" t="s">
        <v>3</v>
      </c>
      <c r="DJ46" s="2" t="s">
        <v>3</v>
      </c>
      <c r="DK46" s="2" t="s">
        <v>3</v>
      </c>
      <c r="DL46" s="2" t="s">
        <v>3</v>
      </c>
      <c r="DM46" s="2" t="s">
        <v>3</v>
      </c>
      <c r="DN46" s="2">
        <v>0</v>
      </c>
      <c r="DO46" s="2">
        <v>0</v>
      </c>
      <c r="DP46" s="2">
        <v>1</v>
      </c>
      <c r="DQ46" s="2">
        <v>1</v>
      </c>
      <c r="DR46" s="2"/>
      <c r="DS46" s="2"/>
      <c r="DT46" s="2"/>
      <c r="DU46" s="2">
        <v>1007</v>
      </c>
      <c r="DV46" s="2" t="s">
        <v>21</v>
      </c>
      <c r="DW46" s="2" t="s">
        <v>21</v>
      </c>
      <c r="DX46" s="2">
        <v>1</v>
      </c>
      <c r="DY46" s="2"/>
      <c r="DZ46" s="2" t="s">
        <v>3</v>
      </c>
      <c r="EA46" s="2" t="s">
        <v>3</v>
      </c>
      <c r="EB46" s="2" t="s">
        <v>3</v>
      </c>
      <c r="EC46" s="2" t="s">
        <v>3</v>
      </c>
      <c r="ED46" s="2"/>
      <c r="EE46" s="2">
        <v>65361239</v>
      </c>
      <c r="EF46" s="2">
        <v>6</v>
      </c>
      <c r="EG46" s="2" t="s">
        <v>23</v>
      </c>
      <c r="EH46" s="2">
        <v>102</v>
      </c>
      <c r="EI46" s="2" t="s">
        <v>24</v>
      </c>
      <c r="EJ46" s="2">
        <v>1</v>
      </c>
      <c r="EK46" s="2">
        <v>68001</v>
      </c>
      <c r="EL46" s="2" t="s">
        <v>24</v>
      </c>
      <c r="EM46" s="2" t="s">
        <v>25</v>
      </c>
      <c r="EN46" s="2"/>
      <c r="EO46" s="2" t="s">
        <v>3</v>
      </c>
      <c r="EP46" s="2"/>
      <c r="EQ46" s="2">
        <v>1024</v>
      </c>
      <c r="ER46" s="2">
        <v>118.05</v>
      </c>
      <c r="ES46" s="2">
        <v>0</v>
      </c>
      <c r="ET46" s="2">
        <v>107.98</v>
      </c>
      <c r="EU46" s="2">
        <v>6.26</v>
      </c>
      <c r="EV46" s="2">
        <v>10.07</v>
      </c>
      <c r="EW46" s="2">
        <v>1.1100000000000001</v>
      </c>
      <c r="EX46" s="2">
        <v>0.54</v>
      </c>
      <c r="EY46" s="2">
        <v>0</v>
      </c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>
        <v>0</v>
      </c>
      <c r="FR46" s="2">
        <f t="shared" si="45"/>
        <v>0</v>
      </c>
      <c r="FS46" s="2">
        <v>0</v>
      </c>
      <c r="FT46" s="2"/>
      <c r="FU46" s="2"/>
      <c r="FV46" s="2"/>
      <c r="FW46" s="2"/>
      <c r="FX46" s="2">
        <v>102</v>
      </c>
      <c r="FY46" s="2">
        <v>54</v>
      </c>
      <c r="FZ46" s="2"/>
      <c r="GA46" s="2" t="s">
        <v>3</v>
      </c>
      <c r="GB46" s="2"/>
      <c r="GC46" s="2"/>
      <c r="GD46" s="2">
        <v>1</v>
      </c>
      <c r="GE46" s="2"/>
      <c r="GF46" s="2">
        <v>-1155657547</v>
      </c>
      <c r="GG46" s="2">
        <v>2</v>
      </c>
      <c r="GH46" s="2">
        <v>1</v>
      </c>
      <c r="GI46" s="2">
        <v>-2</v>
      </c>
      <c r="GJ46" s="2">
        <v>0</v>
      </c>
      <c r="GK46" s="2">
        <v>0</v>
      </c>
      <c r="GL46" s="2">
        <f t="shared" si="46"/>
        <v>0</v>
      </c>
      <c r="GM46" s="2">
        <f t="shared" si="89"/>
        <v>673.14</v>
      </c>
      <c r="GN46" s="2">
        <f t="shared" si="90"/>
        <v>673.14</v>
      </c>
      <c r="GO46" s="2">
        <f t="shared" si="91"/>
        <v>0</v>
      </c>
      <c r="GP46" s="2">
        <f t="shared" si="92"/>
        <v>0</v>
      </c>
      <c r="GQ46" s="2"/>
      <c r="GR46" s="2">
        <v>0</v>
      </c>
      <c r="GS46" s="2">
        <v>3</v>
      </c>
      <c r="GT46" s="2">
        <v>0</v>
      </c>
      <c r="GU46" s="2" t="s">
        <v>3</v>
      </c>
      <c r="GV46" s="2">
        <f t="shared" si="93"/>
        <v>0</v>
      </c>
      <c r="GW46" s="2">
        <v>1</v>
      </c>
      <c r="GX46" s="2">
        <f t="shared" si="94"/>
        <v>0</v>
      </c>
      <c r="GY46" s="2"/>
      <c r="GZ46" s="2"/>
      <c r="HA46" s="2">
        <v>0</v>
      </c>
      <c r="HB46" s="2">
        <v>0</v>
      </c>
      <c r="HC46" s="2">
        <f t="shared" si="95"/>
        <v>0</v>
      </c>
      <c r="HD46" s="2"/>
      <c r="HE46" s="2" t="s">
        <v>3</v>
      </c>
      <c r="HF46" s="2" t="s">
        <v>3</v>
      </c>
      <c r="HG46" s="2"/>
      <c r="HH46" s="2"/>
      <c r="HI46" s="2">
        <f t="shared" si="54"/>
        <v>29.36</v>
      </c>
      <c r="HJ46" s="2">
        <f t="shared" si="55"/>
        <v>47.23</v>
      </c>
      <c r="HK46" s="2">
        <f t="shared" si="96"/>
        <v>78.12</v>
      </c>
      <c r="HL46" s="2">
        <f t="shared" si="97"/>
        <v>41.36</v>
      </c>
      <c r="HM46" s="2" t="s">
        <v>3</v>
      </c>
      <c r="HN46" s="2" t="s">
        <v>3</v>
      </c>
      <c r="HO46" s="2" t="s">
        <v>3</v>
      </c>
      <c r="HP46" s="2" t="s">
        <v>3</v>
      </c>
      <c r="HQ46" s="2" t="s">
        <v>3</v>
      </c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>
        <v>0</v>
      </c>
      <c r="IL46" s="2"/>
      <c r="IM46" s="2"/>
      <c r="IN46" s="2"/>
      <c r="IO46" s="2"/>
      <c r="IP46" s="2"/>
      <c r="IQ46" s="2"/>
      <c r="IR46" s="2"/>
      <c r="IS46" s="2"/>
      <c r="IT46" s="2"/>
      <c r="IU46" s="2"/>
    </row>
    <row r="47" spans="1:255">
      <c r="A47">
        <v>17</v>
      </c>
      <c r="B47">
        <v>1</v>
      </c>
      <c r="C47">
        <f>ROW(SmtRes!A32)</f>
        <v>32</v>
      </c>
      <c r="D47">
        <f>ROW(EtalonRes!A32)</f>
        <v>32</v>
      </c>
      <c r="E47" t="s">
        <v>3</v>
      </c>
      <c r="F47" t="s">
        <v>81</v>
      </c>
      <c r="G47" t="s">
        <v>82</v>
      </c>
      <c r="H47" t="s">
        <v>21</v>
      </c>
      <c r="I47">
        <f>ROUND(ROUND(4.69,4),7)</f>
        <v>4.6900000000000004</v>
      </c>
      <c r="J47">
        <v>0</v>
      </c>
      <c r="K47">
        <f>ROUND(ROUND(4.69,4),7)</f>
        <v>4.6900000000000004</v>
      </c>
      <c r="O47">
        <f t="shared" si="58"/>
        <v>553.66</v>
      </c>
      <c r="P47">
        <f t="shared" si="59"/>
        <v>0</v>
      </c>
      <c r="Q47">
        <f t="shared" si="60"/>
        <v>506.43</v>
      </c>
      <c r="R47">
        <f t="shared" si="61"/>
        <v>29.36</v>
      </c>
      <c r="S47">
        <f t="shared" si="62"/>
        <v>47.23</v>
      </c>
      <c r="T47">
        <f t="shared" si="63"/>
        <v>0</v>
      </c>
      <c r="U47">
        <f t="shared" si="64"/>
        <v>5.2059000000000006</v>
      </c>
      <c r="V47">
        <f t="shared" si="65"/>
        <v>2.5326000000000004</v>
      </c>
      <c r="W47">
        <f t="shared" si="66"/>
        <v>0</v>
      </c>
      <c r="X47">
        <f t="shared" si="67"/>
        <v>78.12</v>
      </c>
      <c r="Y47">
        <f t="shared" si="68"/>
        <v>41.36</v>
      </c>
      <c r="AA47">
        <v>-1</v>
      </c>
      <c r="AB47">
        <f t="shared" si="69"/>
        <v>118.05</v>
      </c>
      <c r="AC47">
        <f t="shared" si="70"/>
        <v>0</v>
      </c>
      <c r="AD47">
        <f t="shared" si="71"/>
        <v>107.98</v>
      </c>
      <c r="AE47">
        <f t="shared" si="72"/>
        <v>6.26</v>
      </c>
      <c r="AF47">
        <f t="shared" si="73"/>
        <v>10.07</v>
      </c>
      <c r="AG47">
        <f t="shared" si="74"/>
        <v>0</v>
      </c>
      <c r="AH47">
        <f t="shared" si="75"/>
        <v>1.1100000000000001</v>
      </c>
      <c r="AI47">
        <f t="shared" si="76"/>
        <v>0.54</v>
      </c>
      <c r="AJ47">
        <f t="shared" si="77"/>
        <v>0</v>
      </c>
      <c r="AK47">
        <v>118.05</v>
      </c>
      <c r="AL47">
        <v>0</v>
      </c>
      <c r="AM47">
        <v>107.98</v>
      </c>
      <c r="AN47">
        <v>6.26</v>
      </c>
      <c r="AO47">
        <v>10.07</v>
      </c>
      <c r="AP47">
        <v>0</v>
      </c>
      <c r="AQ47">
        <v>1.1100000000000001</v>
      </c>
      <c r="AR47">
        <v>0.54</v>
      </c>
      <c r="AS47">
        <v>0</v>
      </c>
      <c r="AT47">
        <v>102</v>
      </c>
      <c r="AU47">
        <v>54</v>
      </c>
      <c r="AV47">
        <v>1</v>
      </c>
      <c r="AW47">
        <v>1</v>
      </c>
      <c r="AZ47">
        <v>1</v>
      </c>
      <c r="BA47">
        <v>24.24</v>
      </c>
      <c r="BB47">
        <v>1</v>
      </c>
      <c r="BC47">
        <v>1</v>
      </c>
      <c r="BD47" t="s">
        <v>3</v>
      </c>
      <c r="BE47" t="s">
        <v>3</v>
      </c>
      <c r="BF47" t="s">
        <v>3</v>
      </c>
      <c r="BG47" t="s">
        <v>3</v>
      </c>
      <c r="BH47">
        <v>0</v>
      </c>
      <c r="BI47">
        <v>1</v>
      </c>
      <c r="BJ47" t="s">
        <v>83</v>
      </c>
      <c r="BM47">
        <v>68001</v>
      </c>
      <c r="BN47">
        <v>0</v>
      </c>
      <c r="BO47" t="s">
        <v>3</v>
      </c>
      <c r="BP47">
        <v>0</v>
      </c>
      <c r="BQ47">
        <v>6</v>
      </c>
      <c r="BR47">
        <v>0</v>
      </c>
      <c r="BS47">
        <v>24.24</v>
      </c>
      <c r="BT47">
        <v>1</v>
      </c>
      <c r="BU47">
        <v>1</v>
      </c>
      <c r="BV47">
        <v>1</v>
      </c>
      <c r="BW47">
        <v>1</v>
      </c>
      <c r="BX47">
        <v>1</v>
      </c>
      <c r="BY47" t="s">
        <v>3</v>
      </c>
      <c r="BZ47">
        <v>102</v>
      </c>
      <c r="CA47">
        <v>54</v>
      </c>
      <c r="CB47" t="s">
        <v>3</v>
      </c>
      <c r="CE47">
        <v>0</v>
      </c>
      <c r="CF47">
        <v>0</v>
      </c>
      <c r="CG47">
        <v>0</v>
      </c>
      <c r="CM47">
        <v>0</v>
      </c>
      <c r="CN47" t="s">
        <v>3</v>
      </c>
      <c r="CO47">
        <v>0</v>
      </c>
      <c r="CP47">
        <f t="shared" si="78"/>
        <v>553.66</v>
      </c>
      <c r="CQ47">
        <f t="shared" si="79"/>
        <v>0</v>
      </c>
      <c r="CR47">
        <f t="shared" si="80"/>
        <v>107.98</v>
      </c>
      <c r="CS47">
        <f t="shared" si="81"/>
        <v>6.26</v>
      </c>
      <c r="CT47">
        <f t="shared" si="82"/>
        <v>10.07</v>
      </c>
      <c r="CU47">
        <f t="shared" si="83"/>
        <v>0</v>
      </c>
      <c r="CV47">
        <f t="shared" si="84"/>
        <v>1.1100000000000001</v>
      </c>
      <c r="CW47">
        <f t="shared" si="85"/>
        <v>0.54</v>
      </c>
      <c r="CX47">
        <f t="shared" si="86"/>
        <v>0</v>
      </c>
      <c r="CY47">
        <f t="shared" si="87"/>
        <v>78.121800000000007</v>
      </c>
      <c r="CZ47">
        <f t="shared" si="88"/>
        <v>41.358600000000003</v>
      </c>
      <c r="DC47" t="s">
        <v>3</v>
      </c>
      <c r="DD47" t="s">
        <v>3</v>
      </c>
      <c r="DE47" t="s">
        <v>3</v>
      </c>
      <c r="DF47" t="s">
        <v>3</v>
      </c>
      <c r="DG47" t="s">
        <v>3</v>
      </c>
      <c r="DH47" t="s">
        <v>3</v>
      </c>
      <c r="DI47" t="s">
        <v>3</v>
      </c>
      <c r="DJ47" t="s">
        <v>3</v>
      </c>
      <c r="DK47" t="s">
        <v>3</v>
      </c>
      <c r="DL47" t="s">
        <v>3</v>
      </c>
      <c r="DM47" t="s">
        <v>3</v>
      </c>
      <c r="DN47">
        <v>0</v>
      </c>
      <c r="DO47">
        <v>0</v>
      </c>
      <c r="DP47">
        <v>1</v>
      </c>
      <c r="DQ47">
        <v>1</v>
      </c>
      <c r="DU47">
        <v>1007</v>
      </c>
      <c r="DV47" t="s">
        <v>21</v>
      </c>
      <c r="DW47" t="s">
        <v>21</v>
      </c>
      <c r="DX47">
        <v>1</v>
      </c>
      <c r="DZ47" t="s">
        <v>3</v>
      </c>
      <c r="EA47" t="s">
        <v>3</v>
      </c>
      <c r="EB47" t="s">
        <v>3</v>
      </c>
      <c r="EC47" t="s">
        <v>3</v>
      </c>
      <c r="EE47">
        <v>65361239</v>
      </c>
      <c r="EF47">
        <v>6</v>
      </c>
      <c r="EG47" t="s">
        <v>23</v>
      </c>
      <c r="EH47">
        <v>102</v>
      </c>
      <c r="EI47" t="s">
        <v>24</v>
      </c>
      <c r="EJ47">
        <v>1</v>
      </c>
      <c r="EK47">
        <v>68001</v>
      </c>
      <c r="EL47" t="s">
        <v>24</v>
      </c>
      <c r="EM47" t="s">
        <v>25</v>
      </c>
      <c r="EO47" t="s">
        <v>3</v>
      </c>
      <c r="EQ47">
        <v>1024</v>
      </c>
      <c r="ER47">
        <v>118.05</v>
      </c>
      <c r="ES47">
        <v>0</v>
      </c>
      <c r="ET47">
        <v>107.98</v>
      </c>
      <c r="EU47">
        <v>6.26</v>
      </c>
      <c r="EV47">
        <v>10.07</v>
      </c>
      <c r="EW47">
        <v>1.1100000000000001</v>
      </c>
      <c r="EX47">
        <v>0.54</v>
      </c>
      <c r="EY47">
        <v>0</v>
      </c>
      <c r="FQ47">
        <v>0</v>
      </c>
      <c r="FR47">
        <f t="shared" si="45"/>
        <v>0</v>
      </c>
      <c r="FS47">
        <v>0</v>
      </c>
      <c r="FX47">
        <v>102</v>
      </c>
      <c r="FY47">
        <v>54</v>
      </c>
      <c r="GA47" t="s">
        <v>3</v>
      </c>
      <c r="GD47">
        <v>1</v>
      </c>
      <c r="GF47">
        <v>-1155657547</v>
      </c>
      <c r="GG47">
        <v>2</v>
      </c>
      <c r="GH47">
        <v>1</v>
      </c>
      <c r="GI47">
        <v>4</v>
      </c>
      <c r="GJ47">
        <v>0</v>
      </c>
      <c r="GK47">
        <v>0</v>
      </c>
      <c r="GL47">
        <f t="shared" si="46"/>
        <v>0</v>
      </c>
      <c r="GM47">
        <f t="shared" si="89"/>
        <v>673.14</v>
      </c>
      <c r="GN47">
        <f t="shared" si="90"/>
        <v>673.14</v>
      </c>
      <c r="GO47">
        <f t="shared" si="91"/>
        <v>0</v>
      </c>
      <c r="GP47">
        <f t="shared" si="92"/>
        <v>0</v>
      </c>
      <c r="GR47">
        <v>0</v>
      </c>
      <c r="GS47">
        <v>3</v>
      </c>
      <c r="GT47">
        <v>0</v>
      </c>
      <c r="GU47" t="s">
        <v>3</v>
      </c>
      <c r="GV47">
        <f t="shared" si="93"/>
        <v>0</v>
      </c>
      <c r="GW47">
        <v>1</v>
      </c>
      <c r="GX47">
        <f t="shared" si="94"/>
        <v>0</v>
      </c>
      <c r="HA47">
        <v>0</v>
      </c>
      <c r="HB47">
        <v>0</v>
      </c>
      <c r="HC47">
        <f t="shared" si="95"/>
        <v>0</v>
      </c>
      <c r="HE47" t="s">
        <v>3</v>
      </c>
      <c r="HF47" t="s">
        <v>3</v>
      </c>
      <c r="HI47">
        <f t="shared" si="54"/>
        <v>711.69</v>
      </c>
      <c r="HJ47">
        <f t="shared" si="55"/>
        <v>1144.8599999999999</v>
      </c>
      <c r="HK47">
        <f t="shared" si="96"/>
        <v>1893.68</v>
      </c>
      <c r="HL47">
        <f t="shared" si="97"/>
        <v>1002.54</v>
      </c>
      <c r="HM47" t="s">
        <v>3</v>
      </c>
      <c r="HN47" t="s">
        <v>3</v>
      </c>
      <c r="HO47" t="s">
        <v>3</v>
      </c>
      <c r="HP47" t="s">
        <v>3</v>
      </c>
      <c r="HQ47" t="s">
        <v>3</v>
      </c>
      <c r="IK47">
        <v>0</v>
      </c>
    </row>
    <row r="48" spans="1:255">
      <c r="A48" s="2">
        <v>17</v>
      </c>
      <c r="B48" s="2">
        <v>1</v>
      </c>
      <c r="C48" s="2">
        <f>ROW(SmtRes!A35)</f>
        <v>35</v>
      </c>
      <c r="D48" s="2">
        <f>ROW(EtalonRes!A35)</f>
        <v>35</v>
      </c>
      <c r="E48" s="2" t="s">
        <v>3</v>
      </c>
      <c r="F48" s="2" t="s">
        <v>84</v>
      </c>
      <c r="G48" s="2" t="s">
        <v>85</v>
      </c>
      <c r="H48" s="2" t="s">
        <v>21</v>
      </c>
      <c r="I48" s="2">
        <f>ROUND(ROUND((1.49*(7+2+1+4+1+3+2)+4.69*3)/3,2),7)</f>
        <v>14.62</v>
      </c>
      <c r="J48" s="2">
        <v>0</v>
      </c>
      <c r="K48" s="2">
        <f>ROUND(ROUND((1.49*(7+2+1+4+1+3+2)+4.69*3)/3,2),7)</f>
        <v>14.62</v>
      </c>
      <c r="L48" s="2"/>
      <c r="M48" s="2"/>
      <c r="N48" s="2"/>
      <c r="O48" s="2">
        <f t="shared" si="58"/>
        <v>5945.52</v>
      </c>
      <c r="P48" s="2">
        <f t="shared" si="59"/>
        <v>0</v>
      </c>
      <c r="Q48" s="2">
        <f t="shared" si="60"/>
        <v>5437.62</v>
      </c>
      <c r="R48" s="2">
        <f t="shared" si="61"/>
        <v>315.5</v>
      </c>
      <c r="S48" s="2">
        <f t="shared" si="62"/>
        <v>507.9</v>
      </c>
      <c r="T48" s="2">
        <f t="shared" si="63"/>
        <v>0</v>
      </c>
      <c r="U48" s="2">
        <f t="shared" si="64"/>
        <v>55.994599999999998</v>
      </c>
      <c r="V48" s="2">
        <f t="shared" si="65"/>
        <v>27.193200000000001</v>
      </c>
      <c r="W48" s="2">
        <f t="shared" si="66"/>
        <v>0</v>
      </c>
      <c r="X48" s="2">
        <f t="shared" si="67"/>
        <v>839.87</v>
      </c>
      <c r="Y48" s="2">
        <f t="shared" si="68"/>
        <v>444.64</v>
      </c>
      <c r="Z48" s="2"/>
      <c r="AA48" s="2">
        <v>-1</v>
      </c>
      <c r="AB48" s="2">
        <f t="shared" si="69"/>
        <v>406.67</v>
      </c>
      <c r="AC48" s="2">
        <f t="shared" si="70"/>
        <v>0</v>
      </c>
      <c r="AD48" s="2">
        <f t="shared" si="71"/>
        <v>371.93</v>
      </c>
      <c r="AE48" s="2">
        <f t="shared" si="72"/>
        <v>21.58</v>
      </c>
      <c r="AF48" s="2">
        <f t="shared" si="73"/>
        <v>34.74</v>
      </c>
      <c r="AG48" s="2">
        <f t="shared" si="74"/>
        <v>0</v>
      </c>
      <c r="AH48" s="2">
        <f t="shared" si="75"/>
        <v>3.83</v>
      </c>
      <c r="AI48" s="2">
        <f t="shared" si="76"/>
        <v>1.86</v>
      </c>
      <c r="AJ48" s="2">
        <f t="shared" si="77"/>
        <v>0</v>
      </c>
      <c r="AK48" s="2">
        <v>406.67</v>
      </c>
      <c r="AL48" s="2">
        <v>0</v>
      </c>
      <c r="AM48" s="2">
        <v>371.93</v>
      </c>
      <c r="AN48" s="2">
        <v>21.58</v>
      </c>
      <c r="AO48" s="2">
        <v>34.74</v>
      </c>
      <c r="AP48" s="2">
        <v>0</v>
      </c>
      <c r="AQ48" s="2">
        <v>3.83</v>
      </c>
      <c r="AR48" s="2">
        <v>1.86</v>
      </c>
      <c r="AS48" s="2">
        <v>0</v>
      </c>
      <c r="AT48" s="2">
        <v>102</v>
      </c>
      <c r="AU48" s="2">
        <v>54</v>
      </c>
      <c r="AV48" s="2">
        <v>1</v>
      </c>
      <c r="AW48" s="2">
        <v>1</v>
      </c>
      <c r="AX48" s="2"/>
      <c r="AY48" s="2"/>
      <c r="AZ48" s="2">
        <v>1</v>
      </c>
      <c r="BA48" s="2">
        <v>1</v>
      </c>
      <c r="BB48" s="2">
        <v>1</v>
      </c>
      <c r="BC48" s="2">
        <v>1</v>
      </c>
      <c r="BD48" s="2" t="s">
        <v>3</v>
      </c>
      <c r="BE48" s="2" t="s">
        <v>3</v>
      </c>
      <c r="BF48" s="2" t="s">
        <v>3</v>
      </c>
      <c r="BG48" s="2" t="s">
        <v>3</v>
      </c>
      <c r="BH48" s="2">
        <v>0</v>
      </c>
      <c r="BI48" s="2">
        <v>1</v>
      </c>
      <c r="BJ48" s="2" t="s">
        <v>86</v>
      </c>
      <c r="BK48" s="2"/>
      <c r="BL48" s="2"/>
      <c r="BM48" s="2">
        <v>68001</v>
      </c>
      <c r="BN48" s="2">
        <v>0</v>
      </c>
      <c r="BO48" s="2" t="s">
        <v>3</v>
      </c>
      <c r="BP48" s="2">
        <v>0</v>
      </c>
      <c r="BQ48" s="2">
        <v>6</v>
      </c>
      <c r="BR48" s="2">
        <v>0</v>
      </c>
      <c r="BS48" s="2">
        <v>1</v>
      </c>
      <c r="BT48" s="2">
        <v>1</v>
      </c>
      <c r="BU48" s="2">
        <v>1</v>
      </c>
      <c r="BV48" s="2">
        <v>1</v>
      </c>
      <c r="BW48" s="2">
        <v>1</v>
      </c>
      <c r="BX48" s="2">
        <v>1</v>
      </c>
      <c r="BY48" s="2" t="s">
        <v>3</v>
      </c>
      <c r="BZ48" s="2">
        <v>102</v>
      </c>
      <c r="CA48" s="2">
        <v>54</v>
      </c>
      <c r="CB48" s="2" t="s">
        <v>3</v>
      </c>
      <c r="CC48" s="2"/>
      <c r="CD48" s="2"/>
      <c r="CE48" s="2">
        <v>0</v>
      </c>
      <c r="CF48" s="2">
        <v>0</v>
      </c>
      <c r="CG48" s="2">
        <v>0</v>
      </c>
      <c r="CH48" s="2"/>
      <c r="CI48" s="2"/>
      <c r="CJ48" s="2"/>
      <c r="CK48" s="2"/>
      <c r="CL48" s="2"/>
      <c r="CM48" s="2">
        <v>0</v>
      </c>
      <c r="CN48" s="2" t="s">
        <v>3</v>
      </c>
      <c r="CO48" s="2">
        <v>0</v>
      </c>
      <c r="CP48" s="2">
        <f t="shared" si="78"/>
        <v>5945.5199999999995</v>
      </c>
      <c r="CQ48" s="2">
        <f t="shared" si="79"/>
        <v>0</v>
      </c>
      <c r="CR48" s="2">
        <f t="shared" si="80"/>
        <v>371.93</v>
      </c>
      <c r="CS48" s="2">
        <f t="shared" si="81"/>
        <v>21.58</v>
      </c>
      <c r="CT48" s="2">
        <f t="shared" si="82"/>
        <v>34.74</v>
      </c>
      <c r="CU48" s="2">
        <f t="shared" si="83"/>
        <v>0</v>
      </c>
      <c r="CV48" s="2">
        <f t="shared" si="84"/>
        <v>3.83</v>
      </c>
      <c r="CW48" s="2">
        <f t="shared" si="85"/>
        <v>1.86</v>
      </c>
      <c r="CX48" s="2">
        <f t="shared" si="86"/>
        <v>0</v>
      </c>
      <c r="CY48" s="2">
        <f t="shared" si="87"/>
        <v>839.86800000000005</v>
      </c>
      <c r="CZ48" s="2">
        <f t="shared" si="88"/>
        <v>444.63599999999997</v>
      </c>
      <c r="DA48" s="2"/>
      <c r="DB48" s="2"/>
      <c r="DC48" s="2" t="s">
        <v>3</v>
      </c>
      <c r="DD48" s="2" t="s">
        <v>3</v>
      </c>
      <c r="DE48" s="2" t="s">
        <v>3</v>
      </c>
      <c r="DF48" s="2" t="s">
        <v>3</v>
      </c>
      <c r="DG48" s="2" t="s">
        <v>3</v>
      </c>
      <c r="DH48" s="2" t="s">
        <v>3</v>
      </c>
      <c r="DI48" s="2" t="s">
        <v>3</v>
      </c>
      <c r="DJ48" s="2" t="s">
        <v>3</v>
      </c>
      <c r="DK48" s="2" t="s">
        <v>3</v>
      </c>
      <c r="DL48" s="2" t="s">
        <v>3</v>
      </c>
      <c r="DM48" s="2" t="s">
        <v>3</v>
      </c>
      <c r="DN48" s="2">
        <v>0</v>
      </c>
      <c r="DO48" s="2">
        <v>0</v>
      </c>
      <c r="DP48" s="2">
        <v>1</v>
      </c>
      <c r="DQ48" s="2">
        <v>1</v>
      </c>
      <c r="DR48" s="2"/>
      <c r="DS48" s="2"/>
      <c r="DT48" s="2"/>
      <c r="DU48" s="2">
        <v>1007</v>
      </c>
      <c r="DV48" s="2" t="s">
        <v>21</v>
      </c>
      <c r="DW48" s="2" t="s">
        <v>21</v>
      </c>
      <c r="DX48" s="2">
        <v>1</v>
      </c>
      <c r="DY48" s="2"/>
      <c r="DZ48" s="2" t="s">
        <v>3</v>
      </c>
      <c r="EA48" s="2" t="s">
        <v>3</v>
      </c>
      <c r="EB48" s="2" t="s">
        <v>3</v>
      </c>
      <c r="EC48" s="2" t="s">
        <v>3</v>
      </c>
      <c r="ED48" s="2"/>
      <c r="EE48" s="2">
        <v>65361239</v>
      </c>
      <c r="EF48" s="2">
        <v>6</v>
      </c>
      <c r="EG48" s="2" t="s">
        <v>23</v>
      </c>
      <c r="EH48" s="2">
        <v>102</v>
      </c>
      <c r="EI48" s="2" t="s">
        <v>24</v>
      </c>
      <c r="EJ48" s="2">
        <v>1</v>
      </c>
      <c r="EK48" s="2">
        <v>68001</v>
      </c>
      <c r="EL48" s="2" t="s">
        <v>24</v>
      </c>
      <c r="EM48" s="2" t="s">
        <v>25</v>
      </c>
      <c r="EN48" s="2"/>
      <c r="EO48" s="2" t="s">
        <v>3</v>
      </c>
      <c r="EP48" s="2"/>
      <c r="EQ48" s="2">
        <v>1024</v>
      </c>
      <c r="ER48" s="2">
        <v>406.67</v>
      </c>
      <c r="ES48" s="2">
        <v>0</v>
      </c>
      <c r="ET48" s="2">
        <v>371.93</v>
      </c>
      <c r="EU48" s="2">
        <v>21.58</v>
      </c>
      <c r="EV48" s="2">
        <v>34.74</v>
      </c>
      <c r="EW48" s="2">
        <v>3.83</v>
      </c>
      <c r="EX48" s="2">
        <v>1.86</v>
      </c>
      <c r="EY48" s="2">
        <v>0</v>
      </c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>
        <v>0</v>
      </c>
      <c r="FR48" s="2">
        <f t="shared" si="45"/>
        <v>0</v>
      </c>
      <c r="FS48" s="2">
        <v>0</v>
      </c>
      <c r="FT48" s="2"/>
      <c r="FU48" s="2"/>
      <c r="FV48" s="2"/>
      <c r="FW48" s="2"/>
      <c r="FX48" s="2">
        <v>102</v>
      </c>
      <c r="FY48" s="2">
        <v>54</v>
      </c>
      <c r="FZ48" s="2"/>
      <c r="GA48" s="2" t="s">
        <v>3</v>
      </c>
      <c r="GB48" s="2"/>
      <c r="GC48" s="2"/>
      <c r="GD48" s="2">
        <v>1</v>
      </c>
      <c r="GE48" s="2"/>
      <c r="GF48" s="2">
        <v>204451701</v>
      </c>
      <c r="GG48" s="2">
        <v>2</v>
      </c>
      <c r="GH48" s="2">
        <v>1</v>
      </c>
      <c r="GI48" s="2">
        <v>-2</v>
      </c>
      <c r="GJ48" s="2">
        <v>0</v>
      </c>
      <c r="GK48" s="2">
        <v>0</v>
      </c>
      <c r="GL48" s="2">
        <f t="shared" si="46"/>
        <v>0</v>
      </c>
      <c r="GM48" s="2">
        <f t="shared" si="89"/>
        <v>7230.03</v>
      </c>
      <c r="GN48" s="2">
        <f t="shared" si="90"/>
        <v>7230.03</v>
      </c>
      <c r="GO48" s="2">
        <f t="shared" si="91"/>
        <v>0</v>
      </c>
      <c r="GP48" s="2">
        <f t="shared" si="92"/>
        <v>0</v>
      </c>
      <c r="GQ48" s="2"/>
      <c r="GR48" s="2">
        <v>0</v>
      </c>
      <c r="GS48" s="2">
        <v>3</v>
      </c>
      <c r="GT48" s="2">
        <v>0</v>
      </c>
      <c r="GU48" s="2" t="s">
        <v>3</v>
      </c>
      <c r="GV48" s="2">
        <f t="shared" si="93"/>
        <v>0</v>
      </c>
      <c r="GW48" s="2">
        <v>1</v>
      </c>
      <c r="GX48" s="2">
        <f t="shared" si="94"/>
        <v>0</v>
      </c>
      <c r="GY48" s="2"/>
      <c r="GZ48" s="2"/>
      <c r="HA48" s="2">
        <v>0</v>
      </c>
      <c r="HB48" s="2">
        <v>0</v>
      </c>
      <c r="HC48" s="2">
        <f t="shared" si="95"/>
        <v>0</v>
      </c>
      <c r="HD48" s="2"/>
      <c r="HE48" s="2" t="s">
        <v>3</v>
      </c>
      <c r="HF48" s="2" t="s">
        <v>3</v>
      </c>
      <c r="HG48" s="2"/>
      <c r="HH48" s="2"/>
      <c r="HI48" s="2">
        <f t="shared" si="54"/>
        <v>315.5</v>
      </c>
      <c r="HJ48" s="2">
        <f t="shared" si="55"/>
        <v>507.9</v>
      </c>
      <c r="HK48" s="2">
        <f t="shared" si="96"/>
        <v>839.87</v>
      </c>
      <c r="HL48" s="2">
        <f t="shared" si="97"/>
        <v>444.64</v>
      </c>
      <c r="HM48" s="2" t="s">
        <v>3</v>
      </c>
      <c r="HN48" s="2" t="s">
        <v>26</v>
      </c>
      <c r="HO48" s="2" t="s">
        <v>27</v>
      </c>
      <c r="HP48" s="2" t="s">
        <v>24</v>
      </c>
      <c r="HQ48" s="2" t="s">
        <v>24</v>
      </c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>
        <v>0</v>
      </c>
      <c r="IL48" s="2"/>
      <c r="IM48" s="2"/>
      <c r="IN48" s="2"/>
      <c r="IO48" s="2"/>
      <c r="IP48" s="2"/>
      <c r="IQ48" s="2"/>
      <c r="IR48" s="2"/>
      <c r="IS48" s="2"/>
      <c r="IT48" s="2"/>
      <c r="IU48" s="2"/>
    </row>
    <row r="49" spans="1:255">
      <c r="A49">
        <v>17</v>
      </c>
      <c r="B49">
        <v>1</v>
      </c>
      <c r="C49">
        <f>ROW(SmtRes!A38)</f>
        <v>38</v>
      </c>
      <c r="D49">
        <f>ROW(EtalonRes!A38)</f>
        <v>38</v>
      </c>
      <c r="E49" t="s">
        <v>3</v>
      </c>
      <c r="F49" t="s">
        <v>84</v>
      </c>
      <c r="G49" t="s">
        <v>85</v>
      </c>
      <c r="H49" t="s">
        <v>21</v>
      </c>
      <c r="I49">
        <f>ROUND(ROUND((1.49*(7+2+1+4+1+3+2)+4.69*3)/3,2),7)</f>
        <v>14.62</v>
      </c>
      <c r="J49">
        <v>0</v>
      </c>
      <c r="K49">
        <f>ROUND(ROUND((1.49*(7+2+1+4+1+3+2)+4.69*3)/3,2),7)</f>
        <v>14.62</v>
      </c>
      <c r="O49">
        <f t="shared" si="58"/>
        <v>5945.52</v>
      </c>
      <c r="P49">
        <f t="shared" si="59"/>
        <v>0</v>
      </c>
      <c r="Q49">
        <f t="shared" si="60"/>
        <v>5437.62</v>
      </c>
      <c r="R49">
        <f t="shared" si="61"/>
        <v>315.5</v>
      </c>
      <c r="S49">
        <f t="shared" si="62"/>
        <v>507.9</v>
      </c>
      <c r="T49">
        <f t="shared" si="63"/>
        <v>0</v>
      </c>
      <c r="U49">
        <f t="shared" si="64"/>
        <v>55.994599999999998</v>
      </c>
      <c r="V49">
        <f t="shared" si="65"/>
        <v>27.193200000000001</v>
      </c>
      <c r="W49">
        <f t="shared" si="66"/>
        <v>0</v>
      </c>
      <c r="X49">
        <f t="shared" si="67"/>
        <v>839.87</v>
      </c>
      <c r="Y49">
        <f t="shared" si="68"/>
        <v>444.64</v>
      </c>
      <c r="AA49">
        <v>-1</v>
      </c>
      <c r="AB49">
        <f t="shared" si="69"/>
        <v>406.67</v>
      </c>
      <c r="AC49">
        <f t="shared" si="70"/>
        <v>0</v>
      </c>
      <c r="AD49">
        <f t="shared" si="71"/>
        <v>371.93</v>
      </c>
      <c r="AE49">
        <f t="shared" si="72"/>
        <v>21.58</v>
      </c>
      <c r="AF49">
        <f t="shared" si="73"/>
        <v>34.74</v>
      </c>
      <c r="AG49">
        <f t="shared" si="74"/>
        <v>0</v>
      </c>
      <c r="AH49">
        <f t="shared" si="75"/>
        <v>3.83</v>
      </c>
      <c r="AI49">
        <f t="shared" si="76"/>
        <v>1.86</v>
      </c>
      <c r="AJ49">
        <f t="shared" si="77"/>
        <v>0</v>
      </c>
      <c r="AK49">
        <v>406.67</v>
      </c>
      <c r="AL49">
        <v>0</v>
      </c>
      <c r="AM49">
        <v>371.93</v>
      </c>
      <c r="AN49">
        <v>21.58</v>
      </c>
      <c r="AO49">
        <v>34.74</v>
      </c>
      <c r="AP49">
        <v>0</v>
      </c>
      <c r="AQ49">
        <v>3.83</v>
      </c>
      <c r="AR49">
        <v>1.86</v>
      </c>
      <c r="AS49">
        <v>0</v>
      </c>
      <c r="AT49">
        <v>102</v>
      </c>
      <c r="AU49">
        <v>54</v>
      </c>
      <c r="AV49">
        <v>1</v>
      </c>
      <c r="AW49">
        <v>1</v>
      </c>
      <c r="AZ49">
        <v>1</v>
      </c>
      <c r="BA49">
        <v>24.24</v>
      </c>
      <c r="BB49">
        <v>1</v>
      </c>
      <c r="BC49">
        <v>1</v>
      </c>
      <c r="BD49" t="s">
        <v>3</v>
      </c>
      <c r="BE49" t="s">
        <v>3</v>
      </c>
      <c r="BF49" t="s">
        <v>3</v>
      </c>
      <c r="BG49" t="s">
        <v>3</v>
      </c>
      <c r="BH49">
        <v>0</v>
      </c>
      <c r="BI49">
        <v>1</v>
      </c>
      <c r="BJ49" t="s">
        <v>86</v>
      </c>
      <c r="BM49">
        <v>68001</v>
      </c>
      <c r="BN49">
        <v>0</v>
      </c>
      <c r="BO49" t="s">
        <v>3</v>
      </c>
      <c r="BP49">
        <v>0</v>
      </c>
      <c r="BQ49">
        <v>6</v>
      </c>
      <c r="BR49">
        <v>0</v>
      </c>
      <c r="BS49">
        <v>24.24</v>
      </c>
      <c r="BT49">
        <v>1</v>
      </c>
      <c r="BU49">
        <v>1</v>
      </c>
      <c r="BV49">
        <v>1</v>
      </c>
      <c r="BW49">
        <v>1</v>
      </c>
      <c r="BX49">
        <v>1</v>
      </c>
      <c r="BY49" t="s">
        <v>3</v>
      </c>
      <c r="BZ49">
        <v>102</v>
      </c>
      <c r="CA49">
        <v>54</v>
      </c>
      <c r="CB49" t="s">
        <v>3</v>
      </c>
      <c r="CE49">
        <v>0</v>
      </c>
      <c r="CF49">
        <v>0</v>
      </c>
      <c r="CG49">
        <v>0</v>
      </c>
      <c r="CM49">
        <v>0</v>
      </c>
      <c r="CN49" t="s">
        <v>3</v>
      </c>
      <c r="CO49">
        <v>0</v>
      </c>
      <c r="CP49">
        <f t="shared" si="78"/>
        <v>5945.5199999999995</v>
      </c>
      <c r="CQ49">
        <f t="shared" si="79"/>
        <v>0</v>
      </c>
      <c r="CR49">
        <f t="shared" si="80"/>
        <v>371.93</v>
      </c>
      <c r="CS49">
        <f t="shared" si="81"/>
        <v>21.58</v>
      </c>
      <c r="CT49">
        <f t="shared" si="82"/>
        <v>34.74</v>
      </c>
      <c r="CU49">
        <f t="shared" si="83"/>
        <v>0</v>
      </c>
      <c r="CV49">
        <f t="shared" si="84"/>
        <v>3.83</v>
      </c>
      <c r="CW49">
        <f t="shared" si="85"/>
        <v>1.86</v>
      </c>
      <c r="CX49">
        <f t="shared" si="86"/>
        <v>0</v>
      </c>
      <c r="CY49">
        <f t="shared" si="87"/>
        <v>839.86800000000005</v>
      </c>
      <c r="CZ49">
        <f t="shared" si="88"/>
        <v>444.63599999999997</v>
      </c>
      <c r="DC49" t="s">
        <v>3</v>
      </c>
      <c r="DD49" t="s">
        <v>3</v>
      </c>
      <c r="DE49" t="s">
        <v>3</v>
      </c>
      <c r="DF49" t="s">
        <v>3</v>
      </c>
      <c r="DG49" t="s">
        <v>3</v>
      </c>
      <c r="DH49" t="s">
        <v>3</v>
      </c>
      <c r="DI49" t="s">
        <v>3</v>
      </c>
      <c r="DJ49" t="s">
        <v>3</v>
      </c>
      <c r="DK49" t="s">
        <v>3</v>
      </c>
      <c r="DL49" t="s">
        <v>3</v>
      </c>
      <c r="DM49" t="s">
        <v>3</v>
      </c>
      <c r="DN49">
        <v>0</v>
      </c>
      <c r="DO49">
        <v>0</v>
      </c>
      <c r="DP49">
        <v>1</v>
      </c>
      <c r="DQ49">
        <v>1</v>
      </c>
      <c r="DU49">
        <v>1007</v>
      </c>
      <c r="DV49" t="s">
        <v>21</v>
      </c>
      <c r="DW49" t="s">
        <v>21</v>
      </c>
      <c r="DX49">
        <v>1</v>
      </c>
      <c r="DZ49" t="s">
        <v>3</v>
      </c>
      <c r="EA49" t="s">
        <v>3</v>
      </c>
      <c r="EB49" t="s">
        <v>3</v>
      </c>
      <c r="EC49" t="s">
        <v>3</v>
      </c>
      <c r="EE49">
        <v>65361239</v>
      </c>
      <c r="EF49">
        <v>6</v>
      </c>
      <c r="EG49" t="s">
        <v>23</v>
      </c>
      <c r="EH49">
        <v>102</v>
      </c>
      <c r="EI49" t="s">
        <v>24</v>
      </c>
      <c r="EJ49">
        <v>1</v>
      </c>
      <c r="EK49">
        <v>68001</v>
      </c>
      <c r="EL49" t="s">
        <v>24</v>
      </c>
      <c r="EM49" t="s">
        <v>25</v>
      </c>
      <c r="EO49" t="s">
        <v>3</v>
      </c>
      <c r="EQ49">
        <v>1024</v>
      </c>
      <c r="ER49">
        <v>406.67</v>
      </c>
      <c r="ES49">
        <v>0</v>
      </c>
      <c r="ET49">
        <v>371.93</v>
      </c>
      <c r="EU49">
        <v>21.58</v>
      </c>
      <c r="EV49">
        <v>34.74</v>
      </c>
      <c r="EW49">
        <v>3.83</v>
      </c>
      <c r="EX49">
        <v>1.86</v>
      </c>
      <c r="EY49">
        <v>0</v>
      </c>
      <c r="FQ49">
        <v>0</v>
      </c>
      <c r="FR49">
        <f t="shared" si="45"/>
        <v>0</v>
      </c>
      <c r="FS49">
        <v>0</v>
      </c>
      <c r="FX49">
        <v>102</v>
      </c>
      <c r="FY49">
        <v>54</v>
      </c>
      <c r="GA49" t="s">
        <v>3</v>
      </c>
      <c r="GD49">
        <v>1</v>
      </c>
      <c r="GF49">
        <v>204451701</v>
      </c>
      <c r="GG49">
        <v>2</v>
      </c>
      <c r="GH49">
        <v>1</v>
      </c>
      <c r="GI49">
        <v>4</v>
      </c>
      <c r="GJ49">
        <v>0</v>
      </c>
      <c r="GK49">
        <v>0</v>
      </c>
      <c r="GL49">
        <f t="shared" si="46"/>
        <v>0</v>
      </c>
      <c r="GM49">
        <f t="shared" si="89"/>
        <v>7230.03</v>
      </c>
      <c r="GN49">
        <f t="shared" si="90"/>
        <v>7230.03</v>
      </c>
      <c r="GO49">
        <f t="shared" si="91"/>
        <v>0</v>
      </c>
      <c r="GP49">
        <f t="shared" si="92"/>
        <v>0</v>
      </c>
      <c r="GR49">
        <v>0</v>
      </c>
      <c r="GS49">
        <v>3</v>
      </c>
      <c r="GT49">
        <v>0</v>
      </c>
      <c r="GU49" t="s">
        <v>3</v>
      </c>
      <c r="GV49">
        <f t="shared" si="93"/>
        <v>0</v>
      </c>
      <c r="GW49">
        <v>1</v>
      </c>
      <c r="GX49">
        <f t="shared" si="94"/>
        <v>0</v>
      </c>
      <c r="HA49">
        <v>0</v>
      </c>
      <c r="HB49">
        <v>0</v>
      </c>
      <c r="HC49">
        <f t="shared" si="95"/>
        <v>0</v>
      </c>
      <c r="HE49" t="s">
        <v>3</v>
      </c>
      <c r="HF49" t="s">
        <v>3</v>
      </c>
      <c r="HI49">
        <f t="shared" si="54"/>
        <v>7647.72</v>
      </c>
      <c r="HJ49">
        <f t="shared" si="55"/>
        <v>12311.5</v>
      </c>
      <c r="HK49">
        <f t="shared" si="96"/>
        <v>20358.400000000001</v>
      </c>
      <c r="HL49">
        <f t="shared" si="97"/>
        <v>10777.98</v>
      </c>
      <c r="HM49" t="s">
        <v>3</v>
      </c>
      <c r="HN49" t="s">
        <v>26</v>
      </c>
      <c r="HO49" t="s">
        <v>27</v>
      </c>
      <c r="HP49" t="s">
        <v>24</v>
      </c>
      <c r="HQ49" t="s">
        <v>24</v>
      </c>
      <c r="IK49">
        <v>0</v>
      </c>
    </row>
    <row r="50" spans="1:255">
      <c r="A50" s="2">
        <v>17</v>
      </c>
      <c r="B50" s="2">
        <v>1</v>
      </c>
      <c r="C50" s="2">
        <f>ROW(SmtRes!A41)</f>
        <v>41</v>
      </c>
      <c r="D50" s="2">
        <f>ROW(EtalonRes!A41)</f>
        <v>41</v>
      </c>
      <c r="E50" s="2" t="s">
        <v>3</v>
      </c>
      <c r="F50" s="2" t="s">
        <v>67</v>
      </c>
      <c r="G50" s="2" t="s">
        <v>80</v>
      </c>
      <c r="H50" s="2" t="s">
        <v>21</v>
      </c>
      <c r="I50" s="2">
        <f>ROUND(ROUND((4.69*(2)),2),7)</f>
        <v>9.3800000000000008</v>
      </c>
      <c r="J50" s="2">
        <v>0</v>
      </c>
      <c r="K50" s="2">
        <f>ROUND(ROUND((4.69*(2)),2),7)</f>
        <v>9.3800000000000008</v>
      </c>
      <c r="L50" s="2"/>
      <c r="M50" s="2"/>
      <c r="N50" s="2"/>
      <c r="O50" s="2">
        <f t="shared" si="58"/>
        <v>3034.53</v>
      </c>
      <c r="P50" s="2">
        <f t="shared" si="59"/>
        <v>0</v>
      </c>
      <c r="Q50" s="2">
        <f t="shared" si="60"/>
        <v>2775.92</v>
      </c>
      <c r="R50" s="2">
        <f t="shared" si="61"/>
        <v>161.05000000000001</v>
      </c>
      <c r="S50" s="2">
        <f t="shared" si="62"/>
        <v>258.61</v>
      </c>
      <c r="T50" s="2">
        <f t="shared" si="63"/>
        <v>0</v>
      </c>
      <c r="U50" s="2">
        <f t="shared" si="64"/>
        <v>28.515200000000004</v>
      </c>
      <c r="V50" s="2">
        <f t="shared" si="65"/>
        <v>13.882400000000001</v>
      </c>
      <c r="W50" s="2">
        <f t="shared" si="66"/>
        <v>0</v>
      </c>
      <c r="X50" s="2">
        <f t="shared" si="67"/>
        <v>428.05</v>
      </c>
      <c r="Y50" s="2">
        <f t="shared" si="68"/>
        <v>226.62</v>
      </c>
      <c r="Z50" s="2"/>
      <c r="AA50" s="2">
        <v>-1</v>
      </c>
      <c r="AB50" s="2">
        <f t="shared" si="69"/>
        <v>323.51</v>
      </c>
      <c r="AC50" s="2">
        <f t="shared" si="70"/>
        <v>0</v>
      </c>
      <c r="AD50" s="2">
        <f t="shared" si="71"/>
        <v>295.94</v>
      </c>
      <c r="AE50" s="2">
        <f t="shared" si="72"/>
        <v>17.170000000000002</v>
      </c>
      <c r="AF50" s="2">
        <f t="shared" si="73"/>
        <v>27.57</v>
      </c>
      <c r="AG50" s="2">
        <f t="shared" si="74"/>
        <v>0</v>
      </c>
      <c r="AH50" s="2">
        <f t="shared" si="75"/>
        <v>3.04</v>
      </c>
      <c r="AI50" s="2">
        <f t="shared" si="76"/>
        <v>1.48</v>
      </c>
      <c r="AJ50" s="2">
        <f t="shared" si="77"/>
        <v>0</v>
      </c>
      <c r="AK50" s="2">
        <v>323.51</v>
      </c>
      <c r="AL50" s="2">
        <v>0</v>
      </c>
      <c r="AM50" s="2">
        <v>295.94</v>
      </c>
      <c r="AN50" s="2">
        <v>17.170000000000002</v>
      </c>
      <c r="AO50" s="2">
        <v>27.57</v>
      </c>
      <c r="AP50" s="2">
        <v>0</v>
      </c>
      <c r="AQ50" s="2">
        <v>3.04</v>
      </c>
      <c r="AR50" s="2">
        <v>1.48</v>
      </c>
      <c r="AS50" s="2">
        <v>0</v>
      </c>
      <c r="AT50" s="2">
        <v>102</v>
      </c>
      <c r="AU50" s="2">
        <v>54</v>
      </c>
      <c r="AV50" s="2">
        <v>1</v>
      </c>
      <c r="AW50" s="2">
        <v>1</v>
      </c>
      <c r="AX50" s="2"/>
      <c r="AY50" s="2"/>
      <c r="AZ50" s="2">
        <v>1</v>
      </c>
      <c r="BA50" s="2">
        <v>1</v>
      </c>
      <c r="BB50" s="2">
        <v>1</v>
      </c>
      <c r="BC50" s="2">
        <v>1</v>
      </c>
      <c r="BD50" s="2" t="s">
        <v>3</v>
      </c>
      <c r="BE50" s="2" t="s">
        <v>3</v>
      </c>
      <c r="BF50" s="2" t="s">
        <v>3</v>
      </c>
      <c r="BG50" s="2" t="s">
        <v>3</v>
      </c>
      <c r="BH50" s="2">
        <v>0</v>
      </c>
      <c r="BI50" s="2">
        <v>1</v>
      </c>
      <c r="BJ50" s="2" t="s">
        <v>69</v>
      </c>
      <c r="BK50" s="2"/>
      <c r="BL50" s="2"/>
      <c r="BM50" s="2">
        <v>68001</v>
      </c>
      <c r="BN50" s="2">
        <v>0</v>
      </c>
      <c r="BO50" s="2" t="s">
        <v>3</v>
      </c>
      <c r="BP50" s="2">
        <v>0</v>
      </c>
      <c r="BQ50" s="2">
        <v>6</v>
      </c>
      <c r="BR50" s="2">
        <v>0</v>
      </c>
      <c r="BS50" s="2">
        <v>1</v>
      </c>
      <c r="BT50" s="2">
        <v>1</v>
      </c>
      <c r="BU50" s="2">
        <v>1</v>
      </c>
      <c r="BV50" s="2">
        <v>1</v>
      </c>
      <c r="BW50" s="2">
        <v>1</v>
      </c>
      <c r="BX50" s="2">
        <v>1</v>
      </c>
      <c r="BY50" s="2" t="s">
        <v>3</v>
      </c>
      <c r="BZ50" s="2">
        <v>102</v>
      </c>
      <c r="CA50" s="2">
        <v>54</v>
      </c>
      <c r="CB50" s="2" t="s">
        <v>3</v>
      </c>
      <c r="CC50" s="2"/>
      <c r="CD50" s="2"/>
      <c r="CE50" s="2">
        <v>0</v>
      </c>
      <c r="CF50" s="2">
        <v>0</v>
      </c>
      <c r="CG50" s="2">
        <v>0</v>
      </c>
      <c r="CH50" s="2"/>
      <c r="CI50" s="2"/>
      <c r="CJ50" s="2"/>
      <c r="CK50" s="2"/>
      <c r="CL50" s="2"/>
      <c r="CM50" s="2">
        <v>0</v>
      </c>
      <c r="CN50" s="2" t="s">
        <v>3</v>
      </c>
      <c r="CO50" s="2">
        <v>0</v>
      </c>
      <c r="CP50" s="2">
        <f t="shared" si="78"/>
        <v>3034.53</v>
      </c>
      <c r="CQ50" s="2">
        <f t="shared" si="79"/>
        <v>0</v>
      </c>
      <c r="CR50" s="2">
        <f t="shared" si="80"/>
        <v>295.94</v>
      </c>
      <c r="CS50" s="2">
        <f t="shared" si="81"/>
        <v>17.170000000000002</v>
      </c>
      <c r="CT50" s="2">
        <f t="shared" si="82"/>
        <v>27.57</v>
      </c>
      <c r="CU50" s="2">
        <f t="shared" si="83"/>
        <v>0</v>
      </c>
      <c r="CV50" s="2">
        <f t="shared" si="84"/>
        <v>3.04</v>
      </c>
      <c r="CW50" s="2">
        <f t="shared" si="85"/>
        <v>1.48</v>
      </c>
      <c r="CX50" s="2">
        <f t="shared" si="86"/>
        <v>0</v>
      </c>
      <c r="CY50" s="2">
        <f t="shared" si="87"/>
        <v>428.0532</v>
      </c>
      <c r="CZ50" s="2">
        <f t="shared" si="88"/>
        <v>226.61640000000003</v>
      </c>
      <c r="DA50" s="2"/>
      <c r="DB50" s="2"/>
      <c r="DC50" s="2" t="s">
        <v>3</v>
      </c>
      <c r="DD50" s="2" t="s">
        <v>3</v>
      </c>
      <c r="DE50" s="2" t="s">
        <v>3</v>
      </c>
      <c r="DF50" s="2" t="s">
        <v>3</v>
      </c>
      <c r="DG50" s="2" t="s">
        <v>3</v>
      </c>
      <c r="DH50" s="2" t="s">
        <v>3</v>
      </c>
      <c r="DI50" s="2" t="s">
        <v>3</v>
      </c>
      <c r="DJ50" s="2" t="s">
        <v>3</v>
      </c>
      <c r="DK50" s="2" t="s">
        <v>3</v>
      </c>
      <c r="DL50" s="2" t="s">
        <v>3</v>
      </c>
      <c r="DM50" s="2" t="s">
        <v>3</v>
      </c>
      <c r="DN50" s="2">
        <v>0</v>
      </c>
      <c r="DO50" s="2">
        <v>0</v>
      </c>
      <c r="DP50" s="2">
        <v>1</v>
      </c>
      <c r="DQ50" s="2">
        <v>1</v>
      </c>
      <c r="DR50" s="2"/>
      <c r="DS50" s="2"/>
      <c r="DT50" s="2"/>
      <c r="DU50" s="2">
        <v>1007</v>
      </c>
      <c r="DV50" s="2" t="s">
        <v>21</v>
      </c>
      <c r="DW50" s="2" t="s">
        <v>21</v>
      </c>
      <c r="DX50" s="2">
        <v>1</v>
      </c>
      <c r="DY50" s="2"/>
      <c r="DZ50" s="2" t="s">
        <v>3</v>
      </c>
      <c r="EA50" s="2" t="s">
        <v>3</v>
      </c>
      <c r="EB50" s="2" t="s">
        <v>3</v>
      </c>
      <c r="EC50" s="2" t="s">
        <v>3</v>
      </c>
      <c r="ED50" s="2"/>
      <c r="EE50" s="2">
        <v>65361239</v>
      </c>
      <c r="EF50" s="2">
        <v>6</v>
      </c>
      <c r="EG50" s="2" t="s">
        <v>23</v>
      </c>
      <c r="EH50" s="2">
        <v>102</v>
      </c>
      <c r="EI50" s="2" t="s">
        <v>24</v>
      </c>
      <c r="EJ50" s="2">
        <v>1</v>
      </c>
      <c r="EK50" s="2">
        <v>68001</v>
      </c>
      <c r="EL50" s="2" t="s">
        <v>24</v>
      </c>
      <c r="EM50" s="2" t="s">
        <v>25</v>
      </c>
      <c r="EN50" s="2"/>
      <c r="EO50" s="2" t="s">
        <v>3</v>
      </c>
      <c r="EP50" s="2"/>
      <c r="EQ50" s="2">
        <v>1024</v>
      </c>
      <c r="ER50" s="2">
        <v>323.51</v>
      </c>
      <c r="ES50" s="2">
        <v>0</v>
      </c>
      <c r="ET50" s="2">
        <v>295.94</v>
      </c>
      <c r="EU50" s="2">
        <v>17.170000000000002</v>
      </c>
      <c r="EV50" s="2">
        <v>27.57</v>
      </c>
      <c r="EW50" s="2">
        <v>3.04</v>
      </c>
      <c r="EX50" s="2">
        <v>1.48</v>
      </c>
      <c r="EY50" s="2">
        <v>0</v>
      </c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>
        <v>0</v>
      </c>
      <c r="FR50" s="2">
        <f t="shared" si="45"/>
        <v>0</v>
      </c>
      <c r="FS50" s="2">
        <v>0</v>
      </c>
      <c r="FT50" s="2"/>
      <c r="FU50" s="2"/>
      <c r="FV50" s="2"/>
      <c r="FW50" s="2"/>
      <c r="FX50" s="2">
        <v>102</v>
      </c>
      <c r="FY50" s="2">
        <v>54</v>
      </c>
      <c r="FZ50" s="2"/>
      <c r="GA50" s="2" t="s">
        <v>3</v>
      </c>
      <c r="GB50" s="2"/>
      <c r="GC50" s="2"/>
      <c r="GD50" s="2">
        <v>1</v>
      </c>
      <c r="GE50" s="2"/>
      <c r="GF50" s="2">
        <v>257184337</v>
      </c>
      <c r="GG50" s="2">
        <v>2</v>
      </c>
      <c r="GH50" s="2">
        <v>1</v>
      </c>
      <c r="GI50" s="2">
        <v>-2</v>
      </c>
      <c r="GJ50" s="2">
        <v>0</v>
      </c>
      <c r="GK50" s="2">
        <v>0</v>
      </c>
      <c r="GL50" s="2">
        <f t="shared" si="46"/>
        <v>0</v>
      </c>
      <c r="GM50" s="2">
        <f t="shared" si="89"/>
        <v>3689.2</v>
      </c>
      <c r="GN50" s="2">
        <f t="shared" si="90"/>
        <v>3689.2</v>
      </c>
      <c r="GO50" s="2">
        <f t="shared" si="91"/>
        <v>0</v>
      </c>
      <c r="GP50" s="2">
        <f t="shared" si="92"/>
        <v>0</v>
      </c>
      <c r="GQ50" s="2"/>
      <c r="GR50" s="2">
        <v>0</v>
      </c>
      <c r="GS50" s="2">
        <v>3</v>
      </c>
      <c r="GT50" s="2">
        <v>0</v>
      </c>
      <c r="GU50" s="2" t="s">
        <v>3</v>
      </c>
      <c r="GV50" s="2">
        <f t="shared" si="93"/>
        <v>0</v>
      </c>
      <c r="GW50" s="2">
        <v>1</v>
      </c>
      <c r="GX50" s="2">
        <f t="shared" si="94"/>
        <v>0</v>
      </c>
      <c r="GY50" s="2"/>
      <c r="GZ50" s="2"/>
      <c r="HA50" s="2">
        <v>0</v>
      </c>
      <c r="HB50" s="2">
        <v>0</v>
      </c>
      <c r="HC50" s="2">
        <f t="shared" si="95"/>
        <v>0</v>
      </c>
      <c r="HD50" s="2"/>
      <c r="HE50" s="2" t="s">
        <v>3</v>
      </c>
      <c r="HF50" s="2" t="s">
        <v>3</v>
      </c>
      <c r="HG50" s="2"/>
      <c r="HH50" s="2"/>
      <c r="HI50" s="2">
        <f t="shared" si="54"/>
        <v>161.05000000000001</v>
      </c>
      <c r="HJ50" s="2">
        <f t="shared" si="55"/>
        <v>258.61</v>
      </c>
      <c r="HK50" s="2">
        <f t="shared" si="96"/>
        <v>428.05</v>
      </c>
      <c r="HL50" s="2">
        <f t="shared" si="97"/>
        <v>226.62</v>
      </c>
      <c r="HM50" s="2" t="s">
        <v>3</v>
      </c>
      <c r="HN50" s="2" t="s">
        <v>26</v>
      </c>
      <c r="HO50" s="2" t="s">
        <v>27</v>
      </c>
      <c r="HP50" s="2" t="s">
        <v>24</v>
      </c>
      <c r="HQ50" s="2" t="s">
        <v>24</v>
      </c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>
        <v>0</v>
      </c>
      <c r="IL50" s="2"/>
      <c r="IM50" s="2"/>
      <c r="IN50" s="2"/>
      <c r="IO50" s="2"/>
      <c r="IP50" s="2"/>
      <c r="IQ50" s="2"/>
      <c r="IR50" s="2"/>
      <c r="IS50" s="2"/>
      <c r="IT50" s="2"/>
      <c r="IU50" s="2"/>
    </row>
    <row r="51" spans="1:255">
      <c r="A51">
        <v>17</v>
      </c>
      <c r="B51">
        <v>1</v>
      </c>
      <c r="C51">
        <f>ROW(SmtRes!A44)</f>
        <v>44</v>
      </c>
      <c r="D51">
        <f>ROW(EtalonRes!A44)</f>
        <v>44</v>
      </c>
      <c r="E51" t="s">
        <v>3</v>
      </c>
      <c r="F51" t="s">
        <v>67</v>
      </c>
      <c r="G51" t="s">
        <v>80</v>
      </c>
      <c r="H51" t="s">
        <v>21</v>
      </c>
      <c r="I51">
        <f>ROUND(ROUND((4.69*(2)),2),7)</f>
        <v>9.3800000000000008</v>
      </c>
      <c r="J51">
        <v>0</v>
      </c>
      <c r="K51">
        <f>ROUND(ROUND((4.69*(2)),2),7)</f>
        <v>9.3800000000000008</v>
      </c>
      <c r="O51">
        <f t="shared" si="58"/>
        <v>3034.53</v>
      </c>
      <c r="P51">
        <f t="shared" si="59"/>
        <v>0</v>
      </c>
      <c r="Q51">
        <f t="shared" si="60"/>
        <v>2775.92</v>
      </c>
      <c r="R51">
        <f t="shared" si="61"/>
        <v>161.05000000000001</v>
      </c>
      <c r="S51">
        <f t="shared" si="62"/>
        <v>258.61</v>
      </c>
      <c r="T51">
        <f t="shared" si="63"/>
        <v>0</v>
      </c>
      <c r="U51">
        <f t="shared" si="64"/>
        <v>28.515200000000004</v>
      </c>
      <c r="V51">
        <f t="shared" si="65"/>
        <v>13.882400000000001</v>
      </c>
      <c r="W51">
        <f t="shared" si="66"/>
        <v>0</v>
      </c>
      <c r="X51">
        <f t="shared" si="67"/>
        <v>428.05</v>
      </c>
      <c r="Y51">
        <f t="shared" si="68"/>
        <v>226.62</v>
      </c>
      <c r="AA51">
        <v>-1</v>
      </c>
      <c r="AB51">
        <f t="shared" si="69"/>
        <v>323.51</v>
      </c>
      <c r="AC51">
        <f t="shared" si="70"/>
        <v>0</v>
      </c>
      <c r="AD51">
        <f t="shared" si="71"/>
        <v>295.94</v>
      </c>
      <c r="AE51">
        <f t="shared" si="72"/>
        <v>17.170000000000002</v>
      </c>
      <c r="AF51">
        <f t="shared" si="73"/>
        <v>27.57</v>
      </c>
      <c r="AG51">
        <f t="shared" si="74"/>
        <v>0</v>
      </c>
      <c r="AH51">
        <f t="shared" si="75"/>
        <v>3.04</v>
      </c>
      <c r="AI51">
        <f t="shared" si="76"/>
        <v>1.48</v>
      </c>
      <c r="AJ51">
        <f t="shared" si="77"/>
        <v>0</v>
      </c>
      <c r="AK51">
        <v>323.51</v>
      </c>
      <c r="AL51">
        <v>0</v>
      </c>
      <c r="AM51">
        <v>295.94</v>
      </c>
      <c r="AN51">
        <v>17.170000000000002</v>
      </c>
      <c r="AO51">
        <v>27.57</v>
      </c>
      <c r="AP51">
        <v>0</v>
      </c>
      <c r="AQ51">
        <v>3.04</v>
      </c>
      <c r="AR51">
        <v>1.48</v>
      </c>
      <c r="AS51">
        <v>0</v>
      </c>
      <c r="AT51">
        <v>102</v>
      </c>
      <c r="AU51">
        <v>54</v>
      </c>
      <c r="AV51">
        <v>1</v>
      </c>
      <c r="AW51">
        <v>1</v>
      </c>
      <c r="AZ51">
        <v>1</v>
      </c>
      <c r="BA51">
        <v>24.24</v>
      </c>
      <c r="BB51">
        <v>1</v>
      </c>
      <c r="BC51">
        <v>1</v>
      </c>
      <c r="BD51" t="s">
        <v>3</v>
      </c>
      <c r="BE51" t="s">
        <v>3</v>
      </c>
      <c r="BF51" t="s">
        <v>3</v>
      </c>
      <c r="BG51" t="s">
        <v>3</v>
      </c>
      <c r="BH51">
        <v>0</v>
      </c>
      <c r="BI51">
        <v>1</v>
      </c>
      <c r="BJ51" t="s">
        <v>69</v>
      </c>
      <c r="BM51">
        <v>68001</v>
      </c>
      <c r="BN51">
        <v>0</v>
      </c>
      <c r="BO51" t="s">
        <v>3</v>
      </c>
      <c r="BP51">
        <v>0</v>
      </c>
      <c r="BQ51">
        <v>6</v>
      </c>
      <c r="BR51">
        <v>0</v>
      </c>
      <c r="BS51">
        <v>24.24</v>
      </c>
      <c r="BT51">
        <v>1</v>
      </c>
      <c r="BU51">
        <v>1</v>
      </c>
      <c r="BV51">
        <v>1</v>
      </c>
      <c r="BW51">
        <v>1</v>
      </c>
      <c r="BX51">
        <v>1</v>
      </c>
      <c r="BY51" t="s">
        <v>3</v>
      </c>
      <c r="BZ51">
        <v>102</v>
      </c>
      <c r="CA51">
        <v>54</v>
      </c>
      <c r="CB51" t="s">
        <v>3</v>
      </c>
      <c r="CE51">
        <v>0</v>
      </c>
      <c r="CF51">
        <v>0</v>
      </c>
      <c r="CG51">
        <v>0</v>
      </c>
      <c r="CM51">
        <v>0</v>
      </c>
      <c r="CN51" t="s">
        <v>3</v>
      </c>
      <c r="CO51">
        <v>0</v>
      </c>
      <c r="CP51">
        <f t="shared" si="78"/>
        <v>3034.53</v>
      </c>
      <c r="CQ51">
        <f t="shared" si="79"/>
        <v>0</v>
      </c>
      <c r="CR51">
        <f t="shared" si="80"/>
        <v>295.94</v>
      </c>
      <c r="CS51">
        <f t="shared" si="81"/>
        <v>17.170000000000002</v>
      </c>
      <c r="CT51">
        <f t="shared" si="82"/>
        <v>27.57</v>
      </c>
      <c r="CU51">
        <f t="shared" si="83"/>
        <v>0</v>
      </c>
      <c r="CV51">
        <f t="shared" si="84"/>
        <v>3.04</v>
      </c>
      <c r="CW51">
        <f t="shared" si="85"/>
        <v>1.48</v>
      </c>
      <c r="CX51">
        <f t="shared" si="86"/>
        <v>0</v>
      </c>
      <c r="CY51">
        <f t="shared" si="87"/>
        <v>428.0532</v>
      </c>
      <c r="CZ51">
        <f t="shared" si="88"/>
        <v>226.61640000000003</v>
      </c>
      <c r="DC51" t="s">
        <v>3</v>
      </c>
      <c r="DD51" t="s">
        <v>3</v>
      </c>
      <c r="DE51" t="s">
        <v>3</v>
      </c>
      <c r="DF51" t="s">
        <v>3</v>
      </c>
      <c r="DG51" t="s">
        <v>3</v>
      </c>
      <c r="DH51" t="s">
        <v>3</v>
      </c>
      <c r="DI51" t="s">
        <v>3</v>
      </c>
      <c r="DJ51" t="s">
        <v>3</v>
      </c>
      <c r="DK51" t="s">
        <v>3</v>
      </c>
      <c r="DL51" t="s">
        <v>3</v>
      </c>
      <c r="DM51" t="s">
        <v>3</v>
      </c>
      <c r="DN51">
        <v>0</v>
      </c>
      <c r="DO51">
        <v>0</v>
      </c>
      <c r="DP51">
        <v>1</v>
      </c>
      <c r="DQ51">
        <v>1</v>
      </c>
      <c r="DU51">
        <v>1007</v>
      </c>
      <c r="DV51" t="s">
        <v>21</v>
      </c>
      <c r="DW51" t="s">
        <v>21</v>
      </c>
      <c r="DX51">
        <v>1</v>
      </c>
      <c r="DZ51" t="s">
        <v>3</v>
      </c>
      <c r="EA51" t="s">
        <v>3</v>
      </c>
      <c r="EB51" t="s">
        <v>3</v>
      </c>
      <c r="EC51" t="s">
        <v>3</v>
      </c>
      <c r="EE51">
        <v>65361239</v>
      </c>
      <c r="EF51">
        <v>6</v>
      </c>
      <c r="EG51" t="s">
        <v>23</v>
      </c>
      <c r="EH51">
        <v>102</v>
      </c>
      <c r="EI51" t="s">
        <v>24</v>
      </c>
      <c r="EJ51">
        <v>1</v>
      </c>
      <c r="EK51">
        <v>68001</v>
      </c>
      <c r="EL51" t="s">
        <v>24</v>
      </c>
      <c r="EM51" t="s">
        <v>25</v>
      </c>
      <c r="EO51" t="s">
        <v>3</v>
      </c>
      <c r="EQ51">
        <v>1024</v>
      </c>
      <c r="ER51">
        <v>323.51</v>
      </c>
      <c r="ES51">
        <v>0</v>
      </c>
      <c r="ET51">
        <v>295.94</v>
      </c>
      <c r="EU51">
        <v>17.170000000000002</v>
      </c>
      <c r="EV51">
        <v>27.57</v>
      </c>
      <c r="EW51">
        <v>3.04</v>
      </c>
      <c r="EX51">
        <v>1.48</v>
      </c>
      <c r="EY51">
        <v>0</v>
      </c>
      <c r="FQ51">
        <v>0</v>
      </c>
      <c r="FR51">
        <f t="shared" si="45"/>
        <v>0</v>
      </c>
      <c r="FS51">
        <v>0</v>
      </c>
      <c r="FX51">
        <v>102</v>
      </c>
      <c r="FY51">
        <v>54</v>
      </c>
      <c r="GA51" t="s">
        <v>3</v>
      </c>
      <c r="GD51">
        <v>1</v>
      </c>
      <c r="GF51">
        <v>257184337</v>
      </c>
      <c r="GG51">
        <v>2</v>
      </c>
      <c r="GH51">
        <v>1</v>
      </c>
      <c r="GI51">
        <v>4</v>
      </c>
      <c r="GJ51">
        <v>0</v>
      </c>
      <c r="GK51">
        <v>0</v>
      </c>
      <c r="GL51">
        <f t="shared" si="46"/>
        <v>0</v>
      </c>
      <c r="GM51">
        <f t="shared" si="89"/>
        <v>3689.2</v>
      </c>
      <c r="GN51">
        <f t="shared" si="90"/>
        <v>3689.2</v>
      </c>
      <c r="GO51">
        <f t="shared" si="91"/>
        <v>0</v>
      </c>
      <c r="GP51">
        <f t="shared" si="92"/>
        <v>0</v>
      </c>
      <c r="GR51">
        <v>0</v>
      </c>
      <c r="GS51">
        <v>3</v>
      </c>
      <c r="GT51">
        <v>0</v>
      </c>
      <c r="GU51" t="s">
        <v>3</v>
      </c>
      <c r="GV51">
        <f t="shared" si="93"/>
        <v>0</v>
      </c>
      <c r="GW51">
        <v>1</v>
      </c>
      <c r="GX51">
        <f t="shared" si="94"/>
        <v>0</v>
      </c>
      <c r="HA51">
        <v>0</v>
      </c>
      <c r="HB51">
        <v>0</v>
      </c>
      <c r="HC51">
        <f t="shared" si="95"/>
        <v>0</v>
      </c>
      <c r="HE51" t="s">
        <v>3</v>
      </c>
      <c r="HF51" t="s">
        <v>3</v>
      </c>
      <c r="HI51">
        <f t="shared" si="54"/>
        <v>3903.85</v>
      </c>
      <c r="HJ51">
        <f t="shared" si="55"/>
        <v>6268.71</v>
      </c>
      <c r="HK51">
        <f t="shared" si="96"/>
        <v>10376.01</v>
      </c>
      <c r="HL51">
        <f t="shared" si="97"/>
        <v>5493.18</v>
      </c>
      <c r="HM51" t="s">
        <v>3</v>
      </c>
      <c r="HN51" t="s">
        <v>26</v>
      </c>
      <c r="HO51" t="s">
        <v>27</v>
      </c>
      <c r="HP51" t="s">
        <v>24</v>
      </c>
      <c r="HQ51" t="s">
        <v>24</v>
      </c>
      <c r="IK51">
        <v>0</v>
      </c>
    </row>
    <row r="52" spans="1:255">
      <c r="A52" s="2">
        <v>17</v>
      </c>
      <c r="B52" s="2">
        <v>1</v>
      </c>
      <c r="C52" s="2">
        <f>ROW(SmtRes!A47)</f>
        <v>47</v>
      </c>
      <c r="D52" s="2">
        <f>ROW(EtalonRes!A47)</f>
        <v>47</v>
      </c>
      <c r="E52" s="2" t="s">
        <v>3</v>
      </c>
      <c r="F52" s="2" t="s">
        <v>81</v>
      </c>
      <c r="G52" s="2" t="s">
        <v>82</v>
      </c>
      <c r="H52" s="2" t="s">
        <v>21</v>
      </c>
      <c r="I52" s="2">
        <f>ROUND(ROUND((9.93+4.69*9)/2,4),7)</f>
        <v>26.07</v>
      </c>
      <c r="J52" s="2">
        <v>0</v>
      </c>
      <c r="K52" s="2">
        <f>ROUND(ROUND((9.93+4.69*9)/2,4),7)</f>
        <v>26.07</v>
      </c>
      <c r="L52" s="2"/>
      <c r="M52" s="2"/>
      <c r="N52" s="2"/>
      <c r="O52" s="2">
        <f t="shared" si="58"/>
        <v>3077.56</v>
      </c>
      <c r="P52" s="2">
        <f t="shared" si="59"/>
        <v>0</v>
      </c>
      <c r="Q52" s="2">
        <f t="shared" si="60"/>
        <v>2815.04</v>
      </c>
      <c r="R52" s="2">
        <f t="shared" si="61"/>
        <v>163.19999999999999</v>
      </c>
      <c r="S52" s="2">
        <f t="shared" si="62"/>
        <v>262.52</v>
      </c>
      <c r="T52" s="2">
        <f t="shared" si="63"/>
        <v>0</v>
      </c>
      <c r="U52" s="2">
        <f t="shared" si="64"/>
        <v>28.937700000000003</v>
      </c>
      <c r="V52" s="2">
        <f t="shared" si="65"/>
        <v>14.077800000000002</v>
      </c>
      <c r="W52" s="2">
        <f t="shared" si="66"/>
        <v>0</v>
      </c>
      <c r="X52" s="2">
        <f t="shared" si="67"/>
        <v>434.23</v>
      </c>
      <c r="Y52" s="2">
        <f t="shared" si="68"/>
        <v>229.89</v>
      </c>
      <c r="Z52" s="2"/>
      <c r="AA52" s="2">
        <v>-1</v>
      </c>
      <c r="AB52" s="2">
        <f t="shared" si="69"/>
        <v>118.05</v>
      </c>
      <c r="AC52" s="2">
        <f t="shared" si="70"/>
        <v>0</v>
      </c>
      <c r="AD52" s="2">
        <f t="shared" si="71"/>
        <v>107.98</v>
      </c>
      <c r="AE52" s="2">
        <f t="shared" si="72"/>
        <v>6.26</v>
      </c>
      <c r="AF52" s="2">
        <f t="shared" si="73"/>
        <v>10.07</v>
      </c>
      <c r="AG52" s="2">
        <f t="shared" si="74"/>
        <v>0</v>
      </c>
      <c r="AH52" s="2">
        <f t="shared" si="75"/>
        <v>1.1100000000000001</v>
      </c>
      <c r="AI52" s="2">
        <f t="shared" si="76"/>
        <v>0.54</v>
      </c>
      <c r="AJ52" s="2">
        <f t="shared" si="77"/>
        <v>0</v>
      </c>
      <c r="AK52" s="2">
        <v>118.05</v>
      </c>
      <c r="AL52" s="2">
        <v>0</v>
      </c>
      <c r="AM52" s="2">
        <v>107.98</v>
      </c>
      <c r="AN52" s="2">
        <v>6.26</v>
      </c>
      <c r="AO52" s="2">
        <v>10.07</v>
      </c>
      <c r="AP52" s="2">
        <v>0</v>
      </c>
      <c r="AQ52" s="2">
        <v>1.1100000000000001</v>
      </c>
      <c r="AR52" s="2">
        <v>0.54</v>
      </c>
      <c r="AS52" s="2">
        <v>0</v>
      </c>
      <c r="AT52" s="2">
        <v>102</v>
      </c>
      <c r="AU52" s="2">
        <v>54</v>
      </c>
      <c r="AV52" s="2">
        <v>1</v>
      </c>
      <c r="AW52" s="2">
        <v>1</v>
      </c>
      <c r="AX52" s="2"/>
      <c r="AY52" s="2"/>
      <c r="AZ52" s="2">
        <v>1</v>
      </c>
      <c r="BA52" s="2">
        <v>1</v>
      </c>
      <c r="BB52" s="2">
        <v>1</v>
      </c>
      <c r="BC52" s="2">
        <v>1</v>
      </c>
      <c r="BD52" s="2" t="s">
        <v>3</v>
      </c>
      <c r="BE52" s="2" t="s">
        <v>3</v>
      </c>
      <c r="BF52" s="2" t="s">
        <v>3</v>
      </c>
      <c r="BG52" s="2" t="s">
        <v>3</v>
      </c>
      <c r="BH52" s="2">
        <v>0</v>
      </c>
      <c r="BI52" s="2">
        <v>1</v>
      </c>
      <c r="BJ52" s="2" t="s">
        <v>83</v>
      </c>
      <c r="BK52" s="2"/>
      <c r="BL52" s="2"/>
      <c r="BM52" s="2">
        <v>68001</v>
      </c>
      <c r="BN52" s="2">
        <v>0</v>
      </c>
      <c r="BO52" s="2" t="s">
        <v>3</v>
      </c>
      <c r="BP52" s="2">
        <v>0</v>
      </c>
      <c r="BQ52" s="2">
        <v>6</v>
      </c>
      <c r="BR52" s="2">
        <v>0</v>
      </c>
      <c r="BS52" s="2">
        <v>1</v>
      </c>
      <c r="BT52" s="2">
        <v>1</v>
      </c>
      <c r="BU52" s="2">
        <v>1</v>
      </c>
      <c r="BV52" s="2">
        <v>1</v>
      </c>
      <c r="BW52" s="2">
        <v>1</v>
      </c>
      <c r="BX52" s="2">
        <v>1</v>
      </c>
      <c r="BY52" s="2" t="s">
        <v>3</v>
      </c>
      <c r="BZ52" s="2">
        <v>102</v>
      </c>
      <c r="CA52" s="2">
        <v>54</v>
      </c>
      <c r="CB52" s="2" t="s">
        <v>3</v>
      </c>
      <c r="CC52" s="2"/>
      <c r="CD52" s="2"/>
      <c r="CE52" s="2">
        <v>0</v>
      </c>
      <c r="CF52" s="2">
        <v>0</v>
      </c>
      <c r="CG52" s="2">
        <v>0</v>
      </c>
      <c r="CH52" s="2"/>
      <c r="CI52" s="2"/>
      <c r="CJ52" s="2"/>
      <c r="CK52" s="2"/>
      <c r="CL52" s="2"/>
      <c r="CM52" s="2">
        <v>0</v>
      </c>
      <c r="CN52" s="2" t="s">
        <v>3</v>
      </c>
      <c r="CO52" s="2">
        <v>0</v>
      </c>
      <c r="CP52" s="2">
        <f t="shared" si="78"/>
        <v>3077.56</v>
      </c>
      <c r="CQ52" s="2">
        <f t="shared" si="79"/>
        <v>0</v>
      </c>
      <c r="CR52" s="2">
        <f t="shared" si="80"/>
        <v>107.98</v>
      </c>
      <c r="CS52" s="2">
        <f t="shared" si="81"/>
        <v>6.26</v>
      </c>
      <c r="CT52" s="2">
        <f t="shared" si="82"/>
        <v>10.07</v>
      </c>
      <c r="CU52" s="2">
        <f t="shared" si="83"/>
        <v>0</v>
      </c>
      <c r="CV52" s="2">
        <f t="shared" si="84"/>
        <v>1.1100000000000001</v>
      </c>
      <c r="CW52" s="2">
        <f t="shared" si="85"/>
        <v>0.54</v>
      </c>
      <c r="CX52" s="2">
        <f t="shared" si="86"/>
        <v>0</v>
      </c>
      <c r="CY52" s="2">
        <f t="shared" si="87"/>
        <v>434.23439999999994</v>
      </c>
      <c r="CZ52" s="2">
        <f t="shared" si="88"/>
        <v>229.88879999999997</v>
      </c>
      <c r="DA52" s="2"/>
      <c r="DB52" s="2"/>
      <c r="DC52" s="2" t="s">
        <v>3</v>
      </c>
      <c r="DD52" s="2" t="s">
        <v>3</v>
      </c>
      <c r="DE52" s="2" t="s">
        <v>3</v>
      </c>
      <c r="DF52" s="2" t="s">
        <v>3</v>
      </c>
      <c r="DG52" s="2" t="s">
        <v>3</v>
      </c>
      <c r="DH52" s="2" t="s">
        <v>3</v>
      </c>
      <c r="DI52" s="2" t="s">
        <v>3</v>
      </c>
      <c r="DJ52" s="2" t="s">
        <v>3</v>
      </c>
      <c r="DK52" s="2" t="s">
        <v>3</v>
      </c>
      <c r="DL52" s="2" t="s">
        <v>3</v>
      </c>
      <c r="DM52" s="2" t="s">
        <v>3</v>
      </c>
      <c r="DN52" s="2">
        <v>0</v>
      </c>
      <c r="DO52" s="2">
        <v>0</v>
      </c>
      <c r="DP52" s="2">
        <v>1</v>
      </c>
      <c r="DQ52" s="2">
        <v>1</v>
      </c>
      <c r="DR52" s="2"/>
      <c r="DS52" s="2"/>
      <c r="DT52" s="2"/>
      <c r="DU52" s="2">
        <v>1007</v>
      </c>
      <c r="DV52" s="2" t="s">
        <v>21</v>
      </c>
      <c r="DW52" s="2" t="s">
        <v>21</v>
      </c>
      <c r="DX52" s="2">
        <v>1</v>
      </c>
      <c r="DY52" s="2"/>
      <c r="DZ52" s="2" t="s">
        <v>3</v>
      </c>
      <c r="EA52" s="2" t="s">
        <v>3</v>
      </c>
      <c r="EB52" s="2" t="s">
        <v>3</v>
      </c>
      <c r="EC52" s="2" t="s">
        <v>3</v>
      </c>
      <c r="ED52" s="2"/>
      <c r="EE52" s="2">
        <v>65361239</v>
      </c>
      <c r="EF52" s="2">
        <v>6</v>
      </c>
      <c r="EG52" s="2" t="s">
        <v>23</v>
      </c>
      <c r="EH52" s="2">
        <v>102</v>
      </c>
      <c r="EI52" s="2" t="s">
        <v>24</v>
      </c>
      <c r="EJ52" s="2">
        <v>1</v>
      </c>
      <c r="EK52" s="2">
        <v>68001</v>
      </c>
      <c r="EL52" s="2" t="s">
        <v>24</v>
      </c>
      <c r="EM52" s="2" t="s">
        <v>25</v>
      </c>
      <c r="EN52" s="2"/>
      <c r="EO52" s="2" t="s">
        <v>3</v>
      </c>
      <c r="EP52" s="2"/>
      <c r="EQ52" s="2">
        <v>1024</v>
      </c>
      <c r="ER52" s="2">
        <v>118.05</v>
      </c>
      <c r="ES52" s="2">
        <v>0</v>
      </c>
      <c r="ET52" s="2">
        <v>107.98</v>
      </c>
      <c r="EU52" s="2">
        <v>6.26</v>
      </c>
      <c r="EV52" s="2">
        <v>10.07</v>
      </c>
      <c r="EW52" s="2">
        <v>1.1100000000000001</v>
      </c>
      <c r="EX52" s="2">
        <v>0.54</v>
      </c>
      <c r="EY52" s="2">
        <v>0</v>
      </c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>
        <v>0</v>
      </c>
      <c r="FR52" s="2">
        <f t="shared" si="45"/>
        <v>0</v>
      </c>
      <c r="FS52" s="2">
        <v>0</v>
      </c>
      <c r="FT52" s="2"/>
      <c r="FU52" s="2"/>
      <c r="FV52" s="2"/>
      <c r="FW52" s="2"/>
      <c r="FX52" s="2">
        <v>102</v>
      </c>
      <c r="FY52" s="2">
        <v>54</v>
      </c>
      <c r="FZ52" s="2"/>
      <c r="GA52" s="2" t="s">
        <v>3</v>
      </c>
      <c r="GB52" s="2"/>
      <c r="GC52" s="2"/>
      <c r="GD52" s="2">
        <v>1</v>
      </c>
      <c r="GE52" s="2"/>
      <c r="GF52" s="2">
        <v>-1155657547</v>
      </c>
      <c r="GG52" s="2">
        <v>2</v>
      </c>
      <c r="GH52" s="2">
        <v>1</v>
      </c>
      <c r="GI52" s="2">
        <v>-2</v>
      </c>
      <c r="GJ52" s="2">
        <v>0</v>
      </c>
      <c r="GK52" s="2">
        <v>0</v>
      </c>
      <c r="GL52" s="2">
        <f t="shared" si="46"/>
        <v>0</v>
      </c>
      <c r="GM52" s="2">
        <f t="shared" si="89"/>
        <v>3741.68</v>
      </c>
      <c r="GN52" s="2">
        <f t="shared" si="90"/>
        <v>3741.68</v>
      </c>
      <c r="GO52" s="2">
        <f t="shared" si="91"/>
        <v>0</v>
      </c>
      <c r="GP52" s="2">
        <f t="shared" si="92"/>
        <v>0</v>
      </c>
      <c r="GQ52" s="2"/>
      <c r="GR52" s="2">
        <v>0</v>
      </c>
      <c r="GS52" s="2">
        <v>3</v>
      </c>
      <c r="GT52" s="2">
        <v>0</v>
      </c>
      <c r="GU52" s="2" t="s">
        <v>3</v>
      </c>
      <c r="GV52" s="2">
        <f t="shared" si="93"/>
        <v>0</v>
      </c>
      <c r="GW52" s="2">
        <v>1</v>
      </c>
      <c r="GX52" s="2">
        <f t="shared" si="94"/>
        <v>0</v>
      </c>
      <c r="GY52" s="2"/>
      <c r="GZ52" s="2"/>
      <c r="HA52" s="2">
        <v>0</v>
      </c>
      <c r="HB52" s="2">
        <v>0</v>
      </c>
      <c r="HC52" s="2">
        <f t="shared" si="95"/>
        <v>0</v>
      </c>
      <c r="HD52" s="2"/>
      <c r="HE52" s="2" t="s">
        <v>3</v>
      </c>
      <c r="HF52" s="2" t="s">
        <v>3</v>
      </c>
      <c r="HG52" s="2"/>
      <c r="HH52" s="2"/>
      <c r="HI52" s="2">
        <f t="shared" si="54"/>
        <v>163.19999999999999</v>
      </c>
      <c r="HJ52" s="2">
        <f t="shared" si="55"/>
        <v>262.52</v>
      </c>
      <c r="HK52" s="2">
        <f t="shared" si="96"/>
        <v>434.23</v>
      </c>
      <c r="HL52" s="2">
        <f t="shared" si="97"/>
        <v>229.89</v>
      </c>
      <c r="HM52" s="2" t="s">
        <v>3</v>
      </c>
      <c r="HN52" s="2" t="s">
        <v>26</v>
      </c>
      <c r="HO52" s="2" t="s">
        <v>27</v>
      </c>
      <c r="HP52" s="2" t="s">
        <v>24</v>
      </c>
      <c r="HQ52" s="2" t="s">
        <v>24</v>
      </c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>
        <v>0</v>
      </c>
      <c r="IL52" s="2"/>
      <c r="IM52" s="2"/>
      <c r="IN52" s="2"/>
      <c r="IO52" s="2"/>
      <c r="IP52" s="2"/>
      <c r="IQ52" s="2"/>
      <c r="IR52" s="2"/>
      <c r="IS52" s="2"/>
      <c r="IT52" s="2"/>
      <c r="IU52" s="2"/>
    </row>
    <row r="53" spans="1:255">
      <c r="A53">
        <v>17</v>
      </c>
      <c r="B53">
        <v>1</v>
      </c>
      <c r="C53">
        <f>ROW(SmtRes!A50)</f>
        <v>50</v>
      </c>
      <c r="D53">
        <f>ROW(EtalonRes!A50)</f>
        <v>50</v>
      </c>
      <c r="E53" t="s">
        <v>3</v>
      </c>
      <c r="F53" t="s">
        <v>81</v>
      </c>
      <c r="G53" t="s">
        <v>82</v>
      </c>
      <c r="H53" t="s">
        <v>21</v>
      </c>
      <c r="I53">
        <f>ROUND(ROUND((9.93+4.69*9)/2,4),7)</f>
        <v>26.07</v>
      </c>
      <c r="J53">
        <v>0</v>
      </c>
      <c r="K53">
        <f>ROUND(ROUND((9.93+4.69*9)/2,4),7)</f>
        <v>26.07</v>
      </c>
      <c r="O53">
        <f t="shared" si="58"/>
        <v>3077.56</v>
      </c>
      <c r="P53">
        <f t="shared" si="59"/>
        <v>0</v>
      </c>
      <c r="Q53">
        <f t="shared" si="60"/>
        <v>2815.04</v>
      </c>
      <c r="R53">
        <f t="shared" si="61"/>
        <v>163.19999999999999</v>
      </c>
      <c r="S53">
        <f t="shared" si="62"/>
        <v>262.52</v>
      </c>
      <c r="T53">
        <f t="shared" si="63"/>
        <v>0</v>
      </c>
      <c r="U53">
        <f t="shared" si="64"/>
        <v>28.937700000000003</v>
      </c>
      <c r="V53">
        <f t="shared" si="65"/>
        <v>14.077800000000002</v>
      </c>
      <c r="W53">
        <f t="shared" si="66"/>
        <v>0</v>
      </c>
      <c r="X53">
        <f t="shared" si="67"/>
        <v>434.23</v>
      </c>
      <c r="Y53">
        <f t="shared" si="68"/>
        <v>229.89</v>
      </c>
      <c r="AA53">
        <v>-1</v>
      </c>
      <c r="AB53">
        <f t="shared" si="69"/>
        <v>118.05</v>
      </c>
      <c r="AC53">
        <f t="shared" si="70"/>
        <v>0</v>
      </c>
      <c r="AD53">
        <f t="shared" si="71"/>
        <v>107.98</v>
      </c>
      <c r="AE53">
        <f t="shared" si="72"/>
        <v>6.26</v>
      </c>
      <c r="AF53">
        <f t="shared" si="73"/>
        <v>10.07</v>
      </c>
      <c r="AG53">
        <f t="shared" si="74"/>
        <v>0</v>
      </c>
      <c r="AH53">
        <f t="shared" si="75"/>
        <v>1.1100000000000001</v>
      </c>
      <c r="AI53">
        <f t="shared" si="76"/>
        <v>0.54</v>
      </c>
      <c r="AJ53">
        <f t="shared" si="77"/>
        <v>0</v>
      </c>
      <c r="AK53">
        <v>118.05</v>
      </c>
      <c r="AL53">
        <v>0</v>
      </c>
      <c r="AM53">
        <v>107.98</v>
      </c>
      <c r="AN53">
        <v>6.26</v>
      </c>
      <c r="AO53">
        <v>10.07</v>
      </c>
      <c r="AP53">
        <v>0</v>
      </c>
      <c r="AQ53">
        <v>1.1100000000000001</v>
      </c>
      <c r="AR53">
        <v>0.54</v>
      </c>
      <c r="AS53">
        <v>0</v>
      </c>
      <c r="AT53">
        <v>102</v>
      </c>
      <c r="AU53">
        <v>54</v>
      </c>
      <c r="AV53">
        <v>1</v>
      </c>
      <c r="AW53">
        <v>1</v>
      </c>
      <c r="AZ53">
        <v>1</v>
      </c>
      <c r="BA53">
        <v>24.24</v>
      </c>
      <c r="BB53">
        <v>1</v>
      </c>
      <c r="BC53">
        <v>1</v>
      </c>
      <c r="BD53" t="s">
        <v>3</v>
      </c>
      <c r="BE53" t="s">
        <v>3</v>
      </c>
      <c r="BF53" t="s">
        <v>3</v>
      </c>
      <c r="BG53" t="s">
        <v>3</v>
      </c>
      <c r="BH53">
        <v>0</v>
      </c>
      <c r="BI53">
        <v>1</v>
      </c>
      <c r="BJ53" t="s">
        <v>83</v>
      </c>
      <c r="BM53">
        <v>68001</v>
      </c>
      <c r="BN53">
        <v>0</v>
      </c>
      <c r="BO53" t="s">
        <v>3</v>
      </c>
      <c r="BP53">
        <v>0</v>
      </c>
      <c r="BQ53">
        <v>6</v>
      </c>
      <c r="BR53">
        <v>0</v>
      </c>
      <c r="BS53">
        <v>24.24</v>
      </c>
      <c r="BT53">
        <v>1</v>
      </c>
      <c r="BU53">
        <v>1</v>
      </c>
      <c r="BV53">
        <v>1</v>
      </c>
      <c r="BW53">
        <v>1</v>
      </c>
      <c r="BX53">
        <v>1</v>
      </c>
      <c r="BY53" t="s">
        <v>3</v>
      </c>
      <c r="BZ53">
        <v>102</v>
      </c>
      <c r="CA53">
        <v>54</v>
      </c>
      <c r="CB53" t="s">
        <v>3</v>
      </c>
      <c r="CE53">
        <v>0</v>
      </c>
      <c r="CF53">
        <v>0</v>
      </c>
      <c r="CG53">
        <v>0</v>
      </c>
      <c r="CM53">
        <v>0</v>
      </c>
      <c r="CN53" t="s">
        <v>3</v>
      </c>
      <c r="CO53">
        <v>0</v>
      </c>
      <c r="CP53">
        <f t="shared" si="78"/>
        <v>3077.56</v>
      </c>
      <c r="CQ53">
        <f t="shared" si="79"/>
        <v>0</v>
      </c>
      <c r="CR53">
        <f t="shared" si="80"/>
        <v>107.98</v>
      </c>
      <c r="CS53">
        <f t="shared" si="81"/>
        <v>6.26</v>
      </c>
      <c r="CT53">
        <f t="shared" si="82"/>
        <v>10.07</v>
      </c>
      <c r="CU53">
        <f t="shared" si="83"/>
        <v>0</v>
      </c>
      <c r="CV53">
        <f t="shared" si="84"/>
        <v>1.1100000000000001</v>
      </c>
      <c r="CW53">
        <f t="shared" si="85"/>
        <v>0.54</v>
      </c>
      <c r="CX53">
        <f t="shared" si="86"/>
        <v>0</v>
      </c>
      <c r="CY53">
        <f t="shared" si="87"/>
        <v>434.23439999999994</v>
      </c>
      <c r="CZ53">
        <f t="shared" si="88"/>
        <v>229.88879999999997</v>
      </c>
      <c r="DC53" t="s">
        <v>3</v>
      </c>
      <c r="DD53" t="s">
        <v>3</v>
      </c>
      <c r="DE53" t="s">
        <v>3</v>
      </c>
      <c r="DF53" t="s">
        <v>3</v>
      </c>
      <c r="DG53" t="s">
        <v>3</v>
      </c>
      <c r="DH53" t="s">
        <v>3</v>
      </c>
      <c r="DI53" t="s">
        <v>3</v>
      </c>
      <c r="DJ53" t="s">
        <v>3</v>
      </c>
      <c r="DK53" t="s">
        <v>3</v>
      </c>
      <c r="DL53" t="s">
        <v>3</v>
      </c>
      <c r="DM53" t="s">
        <v>3</v>
      </c>
      <c r="DN53">
        <v>0</v>
      </c>
      <c r="DO53">
        <v>0</v>
      </c>
      <c r="DP53">
        <v>1</v>
      </c>
      <c r="DQ53">
        <v>1</v>
      </c>
      <c r="DU53">
        <v>1007</v>
      </c>
      <c r="DV53" t="s">
        <v>21</v>
      </c>
      <c r="DW53" t="s">
        <v>21</v>
      </c>
      <c r="DX53">
        <v>1</v>
      </c>
      <c r="DZ53" t="s">
        <v>3</v>
      </c>
      <c r="EA53" t="s">
        <v>3</v>
      </c>
      <c r="EB53" t="s">
        <v>3</v>
      </c>
      <c r="EC53" t="s">
        <v>3</v>
      </c>
      <c r="EE53">
        <v>65361239</v>
      </c>
      <c r="EF53">
        <v>6</v>
      </c>
      <c r="EG53" t="s">
        <v>23</v>
      </c>
      <c r="EH53">
        <v>102</v>
      </c>
      <c r="EI53" t="s">
        <v>24</v>
      </c>
      <c r="EJ53">
        <v>1</v>
      </c>
      <c r="EK53">
        <v>68001</v>
      </c>
      <c r="EL53" t="s">
        <v>24</v>
      </c>
      <c r="EM53" t="s">
        <v>25</v>
      </c>
      <c r="EO53" t="s">
        <v>3</v>
      </c>
      <c r="EQ53">
        <v>1024</v>
      </c>
      <c r="ER53">
        <v>118.05</v>
      </c>
      <c r="ES53">
        <v>0</v>
      </c>
      <c r="ET53">
        <v>107.98</v>
      </c>
      <c r="EU53">
        <v>6.26</v>
      </c>
      <c r="EV53">
        <v>10.07</v>
      </c>
      <c r="EW53">
        <v>1.1100000000000001</v>
      </c>
      <c r="EX53">
        <v>0.54</v>
      </c>
      <c r="EY53">
        <v>0</v>
      </c>
      <c r="FQ53">
        <v>0</v>
      </c>
      <c r="FR53">
        <f t="shared" si="45"/>
        <v>0</v>
      </c>
      <c r="FS53">
        <v>0</v>
      </c>
      <c r="FX53">
        <v>102</v>
      </c>
      <c r="FY53">
        <v>54</v>
      </c>
      <c r="GA53" t="s">
        <v>3</v>
      </c>
      <c r="GD53">
        <v>1</v>
      </c>
      <c r="GF53">
        <v>-1155657547</v>
      </c>
      <c r="GG53">
        <v>2</v>
      </c>
      <c r="GH53">
        <v>1</v>
      </c>
      <c r="GI53">
        <v>4</v>
      </c>
      <c r="GJ53">
        <v>0</v>
      </c>
      <c r="GK53">
        <v>0</v>
      </c>
      <c r="GL53">
        <f t="shared" si="46"/>
        <v>0</v>
      </c>
      <c r="GM53">
        <f t="shared" si="89"/>
        <v>3741.68</v>
      </c>
      <c r="GN53">
        <f t="shared" si="90"/>
        <v>3741.68</v>
      </c>
      <c r="GO53">
        <f t="shared" si="91"/>
        <v>0</v>
      </c>
      <c r="GP53">
        <f t="shared" si="92"/>
        <v>0</v>
      </c>
      <c r="GR53">
        <v>0</v>
      </c>
      <c r="GS53">
        <v>3</v>
      </c>
      <c r="GT53">
        <v>0</v>
      </c>
      <c r="GU53" t="s">
        <v>3</v>
      </c>
      <c r="GV53">
        <f t="shared" si="93"/>
        <v>0</v>
      </c>
      <c r="GW53">
        <v>1</v>
      </c>
      <c r="GX53">
        <f t="shared" si="94"/>
        <v>0</v>
      </c>
      <c r="HA53">
        <v>0</v>
      </c>
      <c r="HB53">
        <v>0</v>
      </c>
      <c r="HC53">
        <f t="shared" si="95"/>
        <v>0</v>
      </c>
      <c r="HE53" t="s">
        <v>3</v>
      </c>
      <c r="HF53" t="s">
        <v>3</v>
      </c>
      <c r="HI53">
        <f t="shared" si="54"/>
        <v>3955.97</v>
      </c>
      <c r="HJ53">
        <f t="shared" si="55"/>
        <v>6363.48</v>
      </c>
      <c r="HK53">
        <f t="shared" si="96"/>
        <v>10525.84</v>
      </c>
      <c r="HL53">
        <f t="shared" si="97"/>
        <v>5572.5</v>
      </c>
      <c r="HM53" t="s">
        <v>3</v>
      </c>
      <c r="HN53" t="s">
        <v>26</v>
      </c>
      <c r="HO53" t="s">
        <v>27</v>
      </c>
      <c r="HP53" t="s">
        <v>24</v>
      </c>
      <c r="HQ53" t="s">
        <v>24</v>
      </c>
      <c r="IK53">
        <v>0</v>
      </c>
    </row>
    <row r="54" spans="1:255">
      <c r="A54" s="2">
        <v>17</v>
      </c>
      <c r="B54" s="2">
        <v>1</v>
      </c>
      <c r="C54" s="2"/>
      <c r="D54" s="2"/>
      <c r="E54" s="2" t="s">
        <v>87</v>
      </c>
      <c r="F54" s="2" t="s">
        <v>53</v>
      </c>
      <c r="G54" s="2" t="s">
        <v>54</v>
      </c>
      <c r="H54" s="2" t="s">
        <v>55</v>
      </c>
      <c r="I54" s="2">
        <v>0</v>
      </c>
      <c r="J54" s="2">
        <v>0</v>
      </c>
      <c r="K54" s="2">
        <v>0</v>
      </c>
      <c r="L54" s="2"/>
      <c r="M54" s="2"/>
      <c r="N54" s="2"/>
      <c r="O54" s="2">
        <f>0</f>
        <v>0</v>
      </c>
      <c r="P54" s="2">
        <f>0</f>
        <v>0</v>
      </c>
      <c r="Q54" s="2">
        <f>0</f>
        <v>0</v>
      </c>
      <c r="R54" s="2">
        <f>0</f>
        <v>0</v>
      </c>
      <c r="S54" s="2">
        <f>0</f>
        <v>0</v>
      </c>
      <c r="T54" s="2">
        <f>0</f>
        <v>0</v>
      </c>
      <c r="U54" s="2">
        <f>0</f>
        <v>0</v>
      </c>
      <c r="V54" s="2">
        <f>0</f>
        <v>0</v>
      </c>
      <c r="W54" s="2">
        <f>0</f>
        <v>0</v>
      </c>
      <c r="X54" s="2">
        <f>0</f>
        <v>0</v>
      </c>
      <c r="Y54" s="2">
        <f>0</f>
        <v>0</v>
      </c>
      <c r="Z54" s="2"/>
      <c r="AA54" s="2">
        <v>73147424</v>
      </c>
      <c r="AB54" s="2">
        <f>ROUND((AK54),2)</f>
        <v>42.98</v>
      </c>
      <c r="AC54" s="2">
        <f>0</f>
        <v>0</v>
      </c>
      <c r="AD54" s="2">
        <f>0</f>
        <v>0</v>
      </c>
      <c r="AE54" s="2">
        <f>0</f>
        <v>0</v>
      </c>
      <c r="AF54" s="2">
        <f>0</f>
        <v>0</v>
      </c>
      <c r="AG54" s="2">
        <f>0</f>
        <v>0</v>
      </c>
      <c r="AH54" s="2">
        <f>0</f>
        <v>0</v>
      </c>
      <c r="AI54" s="2">
        <f>0</f>
        <v>0</v>
      </c>
      <c r="AJ54" s="2">
        <f>0</f>
        <v>0</v>
      </c>
      <c r="AK54" s="2">
        <v>42.98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1</v>
      </c>
      <c r="AW54" s="2">
        <v>1</v>
      </c>
      <c r="AX54" s="2"/>
      <c r="AY54" s="2"/>
      <c r="AZ54" s="2">
        <v>1</v>
      </c>
      <c r="BA54" s="2">
        <v>1</v>
      </c>
      <c r="BB54" s="2">
        <v>1</v>
      </c>
      <c r="BC54" s="2">
        <v>1</v>
      </c>
      <c r="BD54" s="2" t="s">
        <v>3</v>
      </c>
      <c r="BE54" s="2" t="s">
        <v>3</v>
      </c>
      <c r="BF54" s="2" t="s">
        <v>3</v>
      </c>
      <c r="BG54" s="2" t="s">
        <v>3</v>
      </c>
      <c r="BH54" s="2">
        <v>0</v>
      </c>
      <c r="BI54" s="2">
        <v>1</v>
      </c>
      <c r="BJ54" s="2" t="s">
        <v>56</v>
      </c>
      <c r="BK54" s="2"/>
      <c r="BL54" s="2"/>
      <c r="BM54" s="2">
        <v>700004</v>
      </c>
      <c r="BN54" s="2">
        <v>0</v>
      </c>
      <c r="BO54" s="2" t="s">
        <v>3</v>
      </c>
      <c r="BP54" s="2">
        <v>0</v>
      </c>
      <c r="BQ54" s="2">
        <v>19</v>
      </c>
      <c r="BR54" s="2">
        <v>0</v>
      </c>
      <c r="BS54" s="2">
        <v>1</v>
      </c>
      <c r="BT54" s="2">
        <v>1</v>
      </c>
      <c r="BU54" s="2">
        <v>1</v>
      </c>
      <c r="BV54" s="2">
        <v>1</v>
      </c>
      <c r="BW54" s="2">
        <v>1</v>
      </c>
      <c r="BX54" s="2">
        <v>1</v>
      </c>
      <c r="BY54" s="2" t="s">
        <v>3</v>
      </c>
      <c r="BZ54" s="2">
        <v>0</v>
      </c>
      <c r="CA54" s="2">
        <v>0</v>
      </c>
      <c r="CB54" s="2" t="s">
        <v>3</v>
      </c>
      <c r="CC54" s="2"/>
      <c r="CD54" s="2"/>
      <c r="CE54" s="2">
        <v>0</v>
      </c>
      <c r="CF54" s="2">
        <v>0</v>
      </c>
      <c r="CG54" s="2">
        <v>0</v>
      </c>
      <c r="CH54" s="2"/>
      <c r="CI54" s="2"/>
      <c r="CJ54" s="2"/>
      <c r="CK54" s="2"/>
      <c r="CL54" s="2"/>
      <c r="CM54" s="2">
        <v>0</v>
      </c>
      <c r="CN54" s="2" t="s">
        <v>3</v>
      </c>
      <c r="CO54" s="2">
        <v>0</v>
      </c>
      <c r="CP54" s="2">
        <f>AB54*AZ54</f>
        <v>42.98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/>
      <c r="DB54" s="2"/>
      <c r="DC54" s="2" t="s">
        <v>3</v>
      </c>
      <c r="DD54" s="2" t="s">
        <v>3</v>
      </c>
      <c r="DE54" s="2" t="s">
        <v>3</v>
      </c>
      <c r="DF54" s="2" t="s">
        <v>3</v>
      </c>
      <c r="DG54" s="2" t="s">
        <v>3</v>
      </c>
      <c r="DH54" s="2" t="s">
        <v>3</v>
      </c>
      <c r="DI54" s="2" t="s">
        <v>3</v>
      </c>
      <c r="DJ54" s="2" t="s">
        <v>3</v>
      </c>
      <c r="DK54" s="2" t="s">
        <v>3</v>
      </c>
      <c r="DL54" s="2" t="s">
        <v>3</v>
      </c>
      <c r="DM54" s="2" t="s">
        <v>3</v>
      </c>
      <c r="DN54" s="2">
        <v>0</v>
      </c>
      <c r="DO54" s="2">
        <v>0</v>
      </c>
      <c r="DP54" s="2">
        <v>1</v>
      </c>
      <c r="DQ54" s="2">
        <v>1</v>
      </c>
      <c r="DR54" s="2"/>
      <c r="DS54" s="2"/>
      <c r="DT54" s="2"/>
      <c r="DU54" s="2">
        <v>1013</v>
      </c>
      <c r="DV54" s="2" t="s">
        <v>55</v>
      </c>
      <c r="DW54" s="2" t="s">
        <v>55</v>
      </c>
      <c r="DX54" s="2">
        <v>1</v>
      </c>
      <c r="DY54" s="2"/>
      <c r="DZ54" s="2" t="s">
        <v>3</v>
      </c>
      <c r="EA54" s="2" t="s">
        <v>3</v>
      </c>
      <c r="EB54" s="2" t="s">
        <v>3</v>
      </c>
      <c r="EC54" s="2" t="s">
        <v>3</v>
      </c>
      <c r="ED54" s="2"/>
      <c r="EE54" s="2">
        <v>65361301</v>
      </c>
      <c r="EF54" s="2">
        <v>19</v>
      </c>
      <c r="EG54" s="2" t="s">
        <v>57</v>
      </c>
      <c r="EH54" s="2">
        <v>106</v>
      </c>
      <c r="EI54" s="2" t="s">
        <v>57</v>
      </c>
      <c r="EJ54" s="2">
        <v>1</v>
      </c>
      <c r="EK54" s="2">
        <v>700004</v>
      </c>
      <c r="EL54" s="2" t="s">
        <v>57</v>
      </c>
      <c r="EM54" s="2" t="s">
        <v>58</v>
      </c>
      <c r="EN54" s="2"/>
      <c r="EO54" s="2" t="s">
        <v>3</v>
      </c>
      <c r="EP54" s="2"/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>
        <v>0</v>
      </c>
      <c r="FR54" s="2">
        <f t="shared" si="45"/>
        <v>0</v>
      </c>
      <c r="FS54" s="2">
        <v>0</v>
      </c>
      <c r="FT54" s="2"/>
      <c r="FU54" s="2"/>
      <c r="FV54" s="2"/>
      <c r="FW54" s="2"/>
      <c r="FX54" s="2">
        <v>0</v>
      </c>
      <c r="FY54" s="2">
        <v>0</v>
      </c>
      <c r="FZ54" s="2"/>
      <c r="GA54" s="2" t="s">
        <v>3</v>
      </c>
      <c r="GB54" s="2"/>
      <c r="GC54" s="2"/>
      <c r="GD54" s="2">
        <v>1</v>
      </c>
      <c r="GE54" s="2"/>
      <c r="GF54" s="2">
        <v>-335628643</v>
      </c>
      <c r="GG54" s="2">
        <v>2</v>
      </c>
      <c r="GH54" s="2">
        <v>1</v>
      </c>
      <c r="GI54" s="2">
        <v>-2</v>
      </c>
      <c r="GJ54" s="2">
        <v>2</v>
      </c>
      <c r="GK54" s="2">
        <v>0</v>
      </c>
      <c r="GL54" s="2">
        <f t="shared" si="46"/>
        <v>0</v>
      </c>
      <c r="GM54" s="2">
        <f>ROUND(CP54*I54,2)</f>
        <v>0</v>
      </c>
      <c r="GN54" s="2">
        <f>IF(OR(BI54=0,BI54=1),ROUND(CP54*I54,2),0)</f>
        <v>0</v>
      </c>
      <c r="GO54" s="2">
        <f>IF(BI54=2,ROUND(CP54*I54,2),0)</f>
        <v>0</v>
      </c>
      <c r="GP54" s="2">
        <f>IF(BI54=4,ROUND(CP54*I54,2)+GX54,0)</f>
        <v>0</v>
      </c>
      <c r="GQ54" s="2"/>
      <c r="GR54" s="2">
        <v>0</v>
      </c>
      <c r="GS54" s="2">
        <v>3</v>
      </c>
      <c r="GT54" s="2">
        <v>0</v>
      </c>
      <c r="GU54" s="2" t="s">
        <v>3</v>
      </c>
      <c r="GV54" s="2">
        <f>0</f>
        <v>0</v>
      </c>
      <c r="GW54" s="2">
        <v>1</v>
      </c>
      <c r="GX54" s="2">
        <f>0</f>
        <v>0</v>
      </c>
      <c r="GY54" s="2"/>
      <c r="GZ54" s="2"/>
      <c r="HA54" s="2">
        <v>0</v>
      </c>
      <c r="HB54" s="2">
        <v>0</v>
      </c>
      <c r="HC54" s="2">
        <v>0</v>
      </c>
      <c r="HD54" s="2">
        <f>GM54</f>
        <v>0</v>
      </c>
      <c r="HE54" s="2" t="s">
        <v>3</v>
      </c>
      <c r="HF54" s="2" t="s">
        <v>3</v>
      </c>
      <c r="HG54" s="2"/>
      <c r="HH54" s="2"/>
      <c r="HI54" s="2">
        <f t="shared" si="54"/>
        <v>0</v>
      </c>
      <c r="HJ54" s="2">
        <f t="shared" si="55"/>
        <v>0</v>
      </c>
      <c r="HK54" s="2"/>
      <c r="HL54" s="2"/>
      <c r="HM54" s="2" t="s">
        <v>3</v>
      </c>
      <c r="HN54" s="2" t="s">
        <v>3</v>
      </c>
      <c r="HO54" s="2" t="s">
        <v>3</v>
      </c>
      <c r="HP54" s="2" t="s">
        <v>3</v>
      </c>
      <c r="HQ54" s="2" t="s">
        <v>3</v>
      </c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>
        <v>0</v>
      </c>
      <c r="IL54" s="2"/>
      <c r="IM54" s="2"/>
      <c r="IN54" s="2"/>
      <c r="IO54" s="2"/>
      <c r="IP54" s="2"/>
      <c r="IQ54" s="2"/>
      <c r="IR54" s="2"/>
      <c r="IS54" s="2"/>
      <c r="IT54" s="2"/>
      <c r="IU54" s="2"/>
    </row>
    <row r="55" spans="1:255">
      <c r="A55">
        <v>17</v>
      </c>
      <c r="B55">
        <v>1</v>
      </c>
      <c r="E55" t="s">
        <v>87</v>
      </c>
      <c r="F55" t="s">
        <v>53</v>
      </c>
      <c r="G55" t="s">
        <v>54</v>
      </c>
      <c r="H55" t="s">
        <v>55</v>
      </c>
      <c r="I55">
        <v>0</v>
      </c>
      <c r="J55">
        <v>0</v>
      </c>
      <c r="K55">
        <v>0</v>
      </c>
      <c r="O55">
        <f>0</f>
        <v>0</v>
      </c>
      <c r="P55">
        <f>0</f>
        <v>0</v>
      </c>
      <c r="Q55">
        <f>0</f>
        <v>0</v>
      </c>
      <c r="R55">
        <f>0</f>
        <v>0</v>
      </c>
      <c r="S55">
        <f>0</f>
        <v>0</v>
      </c>
      <c r="T55">
        <f>0</f>
        <v>0</v>
      </c>
      <c r="U55">
        <f>0</f>
        <v>0</v>
      </c>
      <c r="V55">
        <f>0</f>
        <v>0</v>
      </c>
      <c r="W55">
        <f>0</f>
        <v>0</v>
      </c>
      <c r="X55">
        <f>0</f>
        <v>0</v>
      </c>
      <c r="Y55">
        <f>0</f>
        <v>0</v>
      </c>
      <c r="AA55">
        <v>73147422</v>
      </c>
      <c r="AB55">
        <f>ROUND((AK55),2)</f>
        <v>42.98</v>
      </c>
      <c r="AC55">
        <f>0</f>
        <v>0</v>
      </c>
      <c r="AD55">
        <f>0</f>
        <v>0</v>
      </c>
      <c r="AE55">
        <f>0</f>
        <v>0</v>
      </c>
      <c r="AF55">
        <f>0</f>
        <v>0</v>
      </c>
      <c r="AG55">
        <f>0</f>
        <v>0</v>
      </c>
      <c r="AH55">
        <f>0</f>
        <v>0</v>
      </c>
      <c r="AI55">
        <f>0</f>
        <v>0</v>
      </c>
      <c r="AJ55">
        <f>0</f>
        <v>0</v>
      </c>
      <c r="AK55">
        <v>42.98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1</v>
      </c>
      <c r="AW55">
        <v>1</v>
      </c>
      <c r="AZ55">
        <v>1</v>
      </c>
      <c r="BA55">
        <v>1</v>
      </c>
      <c r="BB55">
        <v>1</v>
      </c>
      <c r="BC55">
        <v>1</v>
      </c>
      <c r="BD55" t="s">
        <v>3</v>
      </c>
      <c r="BE55" t="s">
        <v>3</v>
      </c>
      <c r="BF55" t="s">
        <v>3</v>
      </c>
      <c r="BG55" t="s">
        <v>3</v>
      </c>
      <c r="BH55">
        <v>0</v>
      </c>
      <c r="BI55">
        <v>1</v>
      </c>
      <c r="BJ55" t="s">
        <v>56</v>
      </c>
      <c r="BM55">
        <v>700004</v>
      </c>
      <c r="BN55">
        <v>0</v>
      </c>
      <c r="BO55" t="s">
        <v>3</v>
      </c>
      <c r="BP55">
        <v>0</v>
      </c>
      <c r="BQ55">
        <v>19</v>
      </c>
      <c r="BR55">
        <v>0</v>
      </c>
      <c r="BS55">
        <v>1</v>
      </c>
      <c r="BT55">
        <v>1</v>
      </c>
      <c r="BU55">
        <v>1</v>
      </c>
      <c r="BV55">
        <v>1</v>
      </c>
      <c r="BW55">
        <v>1</v>
      </c>
      <c r="BX55">
        <v>1</v>
      </c>
      <c r="BY55" t="s">
        <v>3</v>
      </c>
      <c r="BZ55">
        <v>0</v>
      </c>
      <c r="CA55">
        <v>0</v>
      </c>
      <c r="CB55" t="s">
        <v>3</v>
      </c>
      <c r="CE55">
        <v>0</v>
      </c>
      <c r="CF55">
        <v>0</v>
      </c>
      <c r="CG55">
        <v>0</v>
      </c>
      <c r="CM55">
        <v>0</v>
      </c>
      <c r="CN55" t="s">
        <v>3</v>
      </c>
      <c r="CO55">
        <v>0</v>
      </c>
      <c r="CP55">
        <f>AB55*AZ55</f>
        <v>42.98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C55" t="s">
        <v>3</v>
      </c>
      <c r="DD55" t="s">
        <v>3</v>
      </c>
      <c r="DE55" t="s">
        <v>3</v>
      </c>
      <c r="DF55" t="s">
        <v>3</v>
      </c>
      <c r="DG55" t="s">
        <v>3</v>
      </c>
      <c r="DH55" t="s">
        <v>3</v>
      </c>
      <c r="DI55" t="s">
        <v>3</v>
      </c>
      <c r="DJ55" t="s">
        <v>3</v>
      </c>
      <c r="DK55" t="s">
        <v>3</v>
      </c>
      <c r="DL55" t="s">
        <v>3</v>
      </c>
      <c r="DM55" t="s">
        <v>3</v>
      </c>
      <c r="DN55">
        <v>0</v>
      </c>
      <c r="DO55">
        <v>0</v>
      </c>
      <c r="DP55">
        <v>1</v>
      </c>
      <c r="DQ55">
        <v>1</v>
      </c>
      <c r="DU55">
        <v>1013</v>
      </c>
      <c r="DV55" t="s">
        <v>55</v>
      </c>
      <c r="DW55" t="s">
        <v>55</v>
      </c>
      <c r="DX55">
        <v>1</v>
      </c>
      <c r="DZ55" t="s">
        <v>3</v>
      </c>
      <c r="EA55" t="s">
        <v>3</v>
      </c>
      <c r="EB55" t="s">
        <v>3</v>
      </c>
      <c r="EC55" t="s">
        <v>3</v>
      </c>
      <c r="EE55">
        <v>65361301</v>
      </c>
      <c r="EF55">
        <v>19</v>
      </c>
      <c r="EG55" t="s">
        <v>57</v>
      </c>
      <c r="EH55">
        <v>106</v>
      </c>
      <c r="EI55" t="s">
        <v>57</v>
      </c>
      <c r="EJ55">
        <v>1</v>
      </c>
      <c r="EK55">
        <v>700004</v>
      </c>
      <c r="EL55" t="s">
        <v>57</v>
      </c>
      <c r="EM55" t="s">
        <v>58</v>
      </c>
      <c r="EO55" t="s">
        <v>3</v>
      </c>
      <c r="EQ55">
        <v>0</v>
      </c>
      <c r="ER55">
        <v>0</v>
      </c>
      <c r="ES55">
        <v>0</v>
      </c>
      <c r="ET55">
        <v>0</v>
      </c>
      <c r="EU55">
        <v>0</v>
      </c>
      <c r="EV55">
        <v>0</v>
      </c>
      <c r="EW55">
        <v>0</v>
      </c>
      <c r="EX55">
        <v>0</v>
      </c>
      <c r="EY55">
        <v>0</v>
      </c>
      <c r="FQ55">
        <v>0</v>
      </c>
      <c r="FR55">
        <f t="shared" si="45"/>
        <v>0</v>
      </c>
      <c r="FS55">
        <v>0</v>
      </c>
      <c r="FX55">
        <v>0</v>
      </c>
      <c r="FY55">
        <v>0</v>
      </c>
      <c r="GA55" t="s">
        <v>3</v>
      </c>
      <c r="GD55">
        <v>1</v>
      </c>
      <c r="GF55">
        <v>-335628643</v>
      </c>
      <c r="GG55">
        <v>2</v>
      </c>
      <c r="GH55">
        <v>1</v>
      </c>
      <c r="GI55">
        <v>4</v>
      </c>
      <c r="GJ55">
        <v>2</v>
      </c>
      <c r="GK55">
        <v>0</v>
      </c>
      <c r="GL55">
        <f t="shared" si="46"/>
        <v>0</v>
      </c>
      <c r="GM55">
        <f>ROUND(CP55*I55,2)</f>
        <v>0</v>
      </c>
      <c r="GN55">
        <f>IF(OR(BI55=0,BI55=1),ROUND(CP55*I55,2),0)</f>
        <v>0</v>
      </c>
      <c r="GO55">
        <f>IF(BI55=2,ROUND(CP55*I55,2),0)</f>
        <v>0</v>
      </c>
      <c r="GP55">
        <f>IF(BI55=4,ROUND(CP55*I55,2)+GX55,0)</f>
        <v>0</v>
      </c>
      <c r="GR55">
        <v>0</v>
      </c>
      <c r="GS55">
        <v>3</v>
      </c>
      <c r="GT55">
        <v>0</v>
      </c>
      <c r="GU55" t="s">
        <v>3</v>
      </c>
      <c r="GV55">
        <f>0</f>
        <v>0</v>
      </c>
      <c r="GW55">
        <v>1</v>
      </c>
      <c r="GX55">
        <f>0</f>
        <v>0</v>
      </c>
      <c r="HA55">
        <v>0</v>
      </c>
      <c r="HB55">
        <v>0</v>
      </c>
      <c r="HC55">
        <v>0</v>
      </c>
      <c r="HD55">
        <f>GM55</f>
        <v>0</v>
      </c>
      <c r="HE55" t="s">
        <v>3</v>
      </c>
      <c r="HF55" t="s">
        <v>3</v>
      </c>
      <c r="HI55">
        <f t="shared" si="54"/>
        <v>0</v>
      </c>
      <c r="HJ55">
        <f t="shared" si="55"/>
        <v>0</v>
      </c>
      <c r="HM55" t="s">
        <v>3</v>
      </c>
      <c r="HN55" t="s">
        <v>3</v>
      </c>
      <c r="HO55" t="s">
        <v>3</v>
      </c>
      <c r="HP55" t="s">
        <v>3</v>
      </c>
      <c r="HQ55" t="s">
        <v>3</v>
      </c>
      <c r="IK55">
        <v>0</v>
      </c>
    </row>
    <row r="56" spans="1:255">
      <c r="A56" s="2">
        <v>17</v>
      </c>
      <c r="B56" s="2">
        <v>1</v>
      </c>
      <c r="C56" s="2"/>
      <c r="D56" s="2"/>
      <c r="E56" s="2" t="s">
        <v>88</v>
      </c>
      <c r="F56" s="2" t="s">
        <v>89</v>
      </c>
      <c r="G56" s="2" t="s">
        <v>90</v>
      </c>
      <c r="H56" s="2" t="s">
        <v>55</v>
      </c>
      <c r="I56" s="2">
        <v>0</v>
      </c>
      <c r="J56" s="2">
        <v>0</v>
      </c>
      <c r="K56" s="2">
        <v>0</v>
      </c>
      <c r="L56" s="2"/>
      <c r="M56" s="2"/>
      <c r="N56" s="2"/>
      <c r="O56" s="2">
        <f>0</f>
        <v>0</v>
      </c>
      <c r="P56" s="2">
        <f>0</f>
        <v>0</v>
      </c>
      <c r="Q56" s="2">
        <f>0</f>
        <v>0</v>
      </c>
      <c r="R56" s="2">
        <f>0</f>
        <v>0</v>
      </c>
      <c r="S56" s="2">
        <f>0</f>
        <v>0</v>
      </c>
      <c r="T56" s="2">
        <f>0</f>
        <v>0</v>
      </c>
      <c r="U56" s="2">
        <f>0</f>
        <v>0</v>
      </c>
      <c r="V56" s="2">
        <f>0</f>
        <v>0</v>
      </c>
      <c r="W56" s="2">
        <f>0</f>
        <v>0</v>
      </c>
      <c r="X56" s="2">
        <f>0</f>
        <v>0</v>
      </c>
      <c r="Y56" s="2">
        <f>0</f>
        <v>0</v>
      </c>
      <c r="Z56" s="2"/>
      <c r="AA56" s="2">
        <v>73147424</v>
      </c>
      <c r="AB56" s="2">
        <f>ROUND((AK56),2)</f>
        <v>12.2</v>
      </c>
      <c r="AC56" s="2">
        <f>0</f>
        <v>0</v>
      </c>
      <c r="AD56" s="2">
        <f>0</f>
        <v>0</v>
      </c>
      <c r="AE56" s="2">
        <f>0</f>
        <v>0</v>
      </c>
      <c r="AF56" s="2">
        <f>0</f>
        <v>0</v>
      </c>
      <c r="AG56" s="2">
        <f>0</f>
        <v>0</v>
      </c>
      <c r="AH56" s="2">
        <f>0</f>
        <v>0</v>
      </c>
      <c r="AI56" s="2">
        <f>0</f>
        <v>0</v>
      </c>
      <c r="AJ56" s="2">
        <f>0</f>
        <v>0</v>
      </c>
      <c r="AK56" s="2">
        <v>12.2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1</v>
      </c>
      <c r="AW56" s="2">
        <v>1</v>
      </c>
      <c r="AX56" s="2"/>
      <c r="AY56" s="2"/>
      <c r="AZ56" s="2">
        <v>1</v>
      </c>
      <c r="BA56" s="2">
        <v>1</v>
      </c>
      <c r="BB56" s="2">
        <v>1</v>
      </c>
      <c r="BC56" s="2">
        <v>1</v>
      </c>
      <c r="BD56" s="2" t="s">
        <v>3</v>
      </c>
      <c r="BE56" s="2" t="s">
        <v>3</v>
      </c>
      <c r="BF56" s="2" t="s">
        <v>3</v>
      </c>
      <c r="BG56" s="2" t="s">
        <v>3</v>
      </c>
      <c r="BH56" s="2">
        <v>0</v>
      </c>
      <c r="BI56" s="2">
        <v>1</v>
      </c>
      <c r="BJ56" s="2" t="s">
        <v>91</v>
      </c>
      <c r="BK56" s="2"/>
      <c r="BL56" s="2"/>
      <c r="BM56" s="2">
        <v>700005</v>
      </c>
      <c r="BN56" s="2">
        <v>0</v>
      </c>
      <c r="BO56" s="2" t="s">
        <v>3</v>
      </c>
      <c r="BP56" s="2">
        <v>0</v>
      </c>
      <c r="BQ56" s="2">
        <v>10</v>
      </c>
      <c r="BR56" s="2">
        <v>0</v>
      </c>
      <c r="BS56" s="2">
        <v>1</v>
      </c>
      <c r="BT56" s="2">
        <v>1</v>
      </c>
      <c r="BU56" s="2">
        <v>1</v>
      </c>
      <c r="BV56" s="2">
        <v>1</v>
      </c>
      <c r="BW56" s="2">
        <v>1</v>
      </c>
      <c r="BX56" s="2">
        <v>1</v>
      </c>
      <c r="BY56" s="2" t="s">
        <v>3</v>
      </c>
      <c r="BZ56" s="2">
        <v>0</v>
      </c>
      <c r="CA56" s="2">
        <v>0</v>
      </c>
      <c r="CB56" s="2" t="s">
        <v>3</v>
      </c>
      <c r="CC56" s="2"/>
      <c r="CD56" s="2"/>
      <c r="CE56" s="2">
        <v>0</v>
      </c>
      <c r="CF56" s="2">
        <v>0</v>
      </c>
      <c r="CG56" s="2">
        <v>0</v>
      </c>
      <c r="CH56" s="2"/>
      <c r="CI56" s="2"/>
      <c r="CJ56" s="2"/>
      <c r="CK56" s="2"/>
      <c r="CL56" s="2"/>
      <c r="CM56" s="2">
        <v>0</v>
      </c>
      <c r="CN56" s="2" t="s">
        <v>3</v>
      </c>
      <c r="CO56" s="2">
        <v>0</v>
      </c>
      <c r="CP56" s="2">
        <f>AB56*AZ56</f>
        <v>12.2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/>
      <c r="DB56" s="2"/>
      <c r="DC56" s="2" t="s">
        <v>3</v>
      </c>
      <c r="DD56" s="2" t="s">
        <v>3</v>
      </c>
      <c r="DE56" s="2" t="s">
        <v>3</v>
      </c>
      <c r="DF56" s="2" t="s">
        <v>3</v>
      </c>
      <c r="DG56" s="2" t="s">
        <v>3</v>
      </c>
      <c r="DH56" s="2" t="s">
        <v>3</v>
      </c>
      <c r="DI56" s="2" t="s">
        <v>3</v>
      </c>
      <c r="DJ56" s="2" t="s">
        <v>3</v>
      </c>
      <c r="DK56" s="2" t="s">
        <v>3</v>
      </c>
      <c r="DL56" s="2" t="s">
        <v>3</v>
      </c>
      <c r="DM56" s="2" t="s">
        <v>3</v>
      </c>
      <c r="DN56" s="2">
        <v>0</v>
      </c>
      <c r="DO56" s="2">
        <v>0</v>
      </c>
      <c r="DP56" s="2">
        <v>1</v>
      </c>
      <c r="DQ56" s="2">
        <v>1</v>
      </c>
      <c r="DR56" s="2"/>
      <c r="DS56" s="2"/>
      <c r="DT56" s="2"/>
      <c r="DU56" s="2">
        <v>1013</v>
      </c>
      <c r="DV56" s="2" t="s">
        <v>55</v>
      </c>
      <c r="DW56" s="2" t="s">
        <v>55</v>
      </c>
      <c r="DX56" s="2">
        <v>1</v>
      </c>
      <c r="DY56" s="2"/>
      <c r="DZ56" s="2" t="s">
        <v>3</v>
      </c>
      <c r="EA56" s="2" t="s">
        <v>3</v>
      </c>
      <c r="EB56" s="2" t="s">
        <v>3</v>
      </c>
      <c r="EC56" s="2" t="s">
        <v>3</v>
      </c>
      <c r="ED56" s="2"/>
      <c r="EE56" s="2">
        <v>65361304</v>
      </c>
      <c r="EF56" s="2">
        <v>10</v>
      </c>
      <c r="EG56" s="2" t="s">
        <v>63</v>
      </c>
      <c r="EH56" s="2">
        <v>107</v>
      </c>
      <c r="EI56" s="2" t="s">
        <v>64</v>
      </c>
      <c r="EJ56" s="2">
        <v>1</v>
      </c>
      <c r="EK56" s="2">
        <v>700005</v>
      </c>
      <c r="EL56" s="2" t="s">
        <v>64</v>
      </c>
      <c r="EM56" s="2" t="s">
        <v>65</v>
      </c>
      <c r="EN56" s="2"/>
      <c r="EO56" s="2" t="s">
        <v>3</v>
      </c>
      <c r="EP56" s="2"/>
      <c r="EQ56" s="2">
        <v>131072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>
        <v>0</v>
      </c>
      <c r="FR56" s="2">
        <f t="shared" si="45"/>
        <v>0</v>
      </c>
      <c r="FS56" s="2">
        <v>0</v>
      </c>
      <c r="FT56" s="2"/>
      <c r="FU56" s="2"/>
      <c r="FV56" s="2"/>
      <c r="FW56" s="2"/>
      <c r="FX56" s="2">
        <v>0</v>
      </c>
      <c r="FY56" s="2">
        <v>0</v>
      </c>
      <c r="FZ56" s="2"/>
      <c r="GA56" s="2" t="s">
        <v>3</v>
      </c>
      <c r="GB56" s="2"/>
      <c r="GC56" s="2"/>
      <c r="GD56" s="2">
        <v>1</v>
      </c>
      <c r="GE56" s="2"/>
      <c r="GF56" s="2">
        <v>1029604319</v>
      </c>
      <c r="GG56" s="2">
        <v>2</v>
      </c>
      <c r="GH56" s="2">
        <v>1</v>
      </c>
      <c r="GI56" s="2">
        <v>-2</v>
      </c>
      <c r="GJ56" s="2">
        <v>2</v>
      </c>
      <c r="GK56" s="2">
        <v>0</v>
      </c>
      <c r="GL56" s="2">
        <f t="shared" si="46"/>
        <v>0</v>
      </c>
      <c r="GM56" s="2">
        <f>ROUND(CP56*I56,2)</f>
        <v>0</v>
      </c>
      <c r="GN56" s="2">
        <f>IF(OR(BI56=0,BI56=1),ROUND(CP56*I56,2),0)</f>
        <v>0</v>
      </c>
      <c r="GO56" s="2">
        <f>IF(BI56=2,ROUND(CP56*I56,2),0)</f>
        <v>0</v>
      </c>
      <c r="GP56" s="2">
        <f>IF(BI56=4,ROUND(CP56*I56,2)+GX56,0)</f>
        <v>0</v>
      </c>
      <c r="GQ56" s="2"/>
      <c r="GR56" s="2">
        <v>0</v>
      </c>
      <c r="GS56" s="2">
        <v>0</v>
      </c>
      <c r="GT56" s="2">
        <v>0</v>
      </c>
      <c r="GU56" s="2" t="s">
        <v>3</v>
      </c>
      <c r="GV56" s="2">
        <f>0</f>
        <v>0</v>
      </c>
      <c r="GW56" s="2">
        <v>1</v>
      </c>
      <c r="GX56" s="2">
        <f>0</f>
        <v>0</v>
      </c>
      <c r="GY56" s="2"/>
      <c r="GZ56" s="2"/>
      <c r="HA56" s="2">
        <v>0</v>
      </c>
      <c r="HB56" s="2">
        <v>0</v>
      </c>
      <c r="HC56" s="2">
        <v>0</v>
      </c>
      <c r="HD56" s="2">
        <f>GM56</f>
        <v>0</v>
      </c>
      <c r="HE56" s="2" t="s">
        <v>3</v>
      </c>
      <c r="HF56" s="2" t="s">
        <v>3</v>
      </c>
      <c r="HG56" s="2"/>
      <c r="HH56" s="2"/>
      <c r="HI56" s="2">
        <f t="shared" si="54"/>
        <v>0</v>
      </c>
      <c r="HJ56" s="2">
        <f t="shared" si="55"/>
        <v>0</v>
      </c>
      <c r="HK56" s="2"/>
      <c r="HL56" s="2"/>
      <c r="HM56" s="2" t="s">
        <v>3</v>
      </c>
      <c r="HN56" s="2" t="s">
        <v>3</v>
      </c>
      <c r="HO56" s="2" t="s">
        <v>3</v>
      </c>
      <c r="HP56" s="2" t="s">
        <v>3</v>
      </c>
      <c r="HQ56" s="2" t="s">
        <v>3</v>
      </c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>
        <v>0</v>
      </c>
      <c r="IL56" s="2"/>
      <c r="IM56" s="2"/>
      <c r="IN56" s="2"/>
      <c r="IO56" s="2"/>
      <c r="IP56" s="2"/>
      <c r="IQ56" s="2"/>
      <c r="IR56" s="2"/>
      <c r="IS56" s="2"/>
      <c r="IT56" s="2"/>
      <c r="IU56" s="2"/>
    </row>
    <row r="57" spans="1:255">
      <c r="A57">
        <v>17</v>
      </c>
      <c r="B57">
        <v>1</v>
      </c>
      <c r="E57" t="s">
        <v>88</v>
      </c>
      <c r="F57" t="s">
        <v>89</v>
      </c>
      <c r="G57" t="s">
        <v>90</v>
      </c>
      <c r="H57" t="s">
        <v>55</v>
      </c>
      <c r="I57">
        <v>0</v>
      </c>
      <c r="J57">
        <v>0</v>
      </c>
      <c r="K57">
        <v>0</v>
      </c>
      <c r="O57">
        <f>0</f>
        <v>0</v>
      </c>
      <c r="P57">
        <f>0</f>
        <v>0</v>
      </c>
      <c r="Q57">
        <f>0</f>
        <v>0</v>
      </c>
      <c r="R57">
        <f>0</f>
        <v>0</v>
      </c>
      <c r="S57">
        <f>0</f>
        <v>0</v>
      </c>
      <c r="T57">
        <f>0</f>
        <v>0</v>
      </c>
      <c r="U57">
        <f>0</f>
        <v>0</v>
      </c>
      <c r="V57">
        <f>0</f>
        <v>0</v>
      </c>
      <c r="W57">
        <f>0</f>
        <v>0</v>
      </c>
      <c r="X57">
        <f>0</f>
        <v>0</v>
      </c>
      <c r="Y57">
        <f>0</f>
        <v>0</v>
      </c>
      <c r="AA57">
        <v>73147422</v>
      </c>
      <c r="AB57">
        <f>ROUND((AK57),2)</f>
        <v>12.2</v>
      </c>
      <c r="AC57">
        <f>0</f>
        <v>0</v>
      </c>
      <c r="AD57">
        <f>0</f>
        <v>0</v>
      </c>
      <c r="AE57">
        <f>0</f>
        <v>0</v>
      </c>
      <c r="AF57">
        <f>0</f>
        <v>0</v>
      </c>
      <c r="AG57">
        <f>0</f>
        <v>0</v>
      </c>
      <c r="AH57">
        <f>0</f>
        <v>0</v>
      </c>
      <c r="AI57">
        <f>0</f>
        <v>0</v>
      </c>
      <c r="AJ57">
        <f>0</f>
        <v>0</v>
      </c>
      <c r="AK57">
        <v>12.2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1</v>
      </c>
      <c r="AW57">
        <v>1</v>
      </c>
      <c r="AZ57">
        <v>1</v>
      </c>
      <c r="BA57">
        <v>1</v>
      </c>
      <c r="BB57">
        <v>1</v>
      </c>
      <c r="BC57">
        <v>1</v>
      </c>
      <c r="BD57" t="s">
        <v>3</v>
      </c>
      <c r="BE57" t="s">
        <v>3</v>
      </c>
      <c r="BF57" t="s">
        <v>3</v>
      </c>
      <c r="BG57" t="s">
        <v>3</v>
      </c>
      <c r="BH57">
        <v>0</v>
      </c>
      <c r="BI57">
        <v>1</v>
      </c>
      <c r="BJ57" t="s">
        <v>91</v>
      </c>
      <c r="BM57">
        <v>700005</v>
      </c>
      <c r="BN57">
        <v>0</v>
      </c>
      <c r="BO57" t="s">
        <v>3</v>
      </c>
      <c r="BP57">
        <v>0</v>
      </c>
      <c r="BQ57">
        <v>10</v>
      </c>
      <c r="BR57">
        <v>0</v>
      </c>
      <c r="BS57">
        <v>1</v>
      </c>
      <c r="BT57">
        <v>1</v>
      </c>
      <c r="BU57">
        <v>1</v>
      </c>
      <c r="BV57">
        <v>1</v>
      </c>
      <c r="BW57">
        <v>1</v>
      </c>
      <c r="BX57">
        <v>1</v>
      </c>
      <c r="BY57" t="s">
        <v>3</v>
      </c>
      <c r="BZ57">
        <v>0</v>
      </c>
      <c r="CA57">
        <v>0</v>
      </c>
      <c r="CB57" t="s">
        <v>3</v>
      </c>
      <c r="CE57">
        <v>0</v>
      </c>
      <c r="CF57">
        <v>0</v>
      </c>
      <c r="CG57">
        <v>0</v>
      </c>
      <c r="CM57">
        <v>0</v>
      </c>
      <c r="CN57" t="s">
        <v>3</v>
      </c>
      <c r="CO57">
        <v>0</v>
      </c>
      <c r="CP57">
        <f>AB57*AZ57</f>
        <v>12.2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C57" t="s">
        <v>3</v>
      </c>
      <c r="DD57" t="s">
        <v>3</v>
      </c>
      <c r="DE57" t="s">
        <v>3</v>
      </c>
      <c r="DF57" t="s">
        <v>3</v>
      </c>
      <c r="DG57" t="s">
        <v>3</v>
      </c>
      <c r="DH57" t="s">
        <v>3</v>
      </c>
      <c r="DI57" t="s">
        <v>3</v>
      </c>
      <c r="DJ57" t="s">
        <v>3</v>
      </c>
      <c r="DK57" t="s">
        <v>3</v>
      </c>
      <c r="DL57" t="s">
        <v>3</v>
      </c>
      <c r="DM57" t="s">
        <v>3</v>
      </c>
      <c r="DN57">
        <v>0</v>
      </c>
      <c r="DO57">
        <v>0</v>
      </c>
      <c r="DP57">
        <v>1</v>
      </c>
      <c r="DQ57">
        <v>1</v>
      </c>
      <c r="DU57">
        <v>1013</v>
      </c>
      <c r="DV57" t="s">
        <v>55</v>
      </c>
      <c r="DW57" t="s">
        <v>55</v>
      </c>
      <c r="DX57">
        <v>1</v>
      </c>
      <c r="DZ57" t="s">
        <v>3</v>
      </c>
      <c r="EA57" t="s">
        <v>3</v>
      </c>
      <c r="EB57" t="s">
        <v>3</v>
      </c>
      <c r="EC57" t="s">
        <v>3</v>
      </c>
      <c r="EE57">
        <v>65361304</v>
      </c>
      <c r="EF57">
        <v>10</v>
      </c>
      <c r="EG57" t="s">
        <v>63</v>
      </c>
      <c r="EH57">
        <v>107</v>
      </c>
      <c r="EI57" t="s">
        <v>64</v>
      </c>
      <c r="EJ57">
        <v>1</v>
      </c>
      <c r="EK57">
        <v>700005</v>
      </c>
      <c r="EL57" t="s">
        <v>64</v>
      </c>
      <c r="EM57" t="s">
        <v>65</v>
      </c>
      <c r="EO57" t="s">
        <v>3</v>
      </c>
      <c r="EQ57">
        <v>131072</v>
      </c>
      <c r="ER57">
        <v>0</v>
      </c>
      <c r="ES57">
        <v>0</v>
      </c>
      <c r="ET57">
        <v>0</v>
      </c>
      <c r="EU57">
        <v>0</v>
      </c>
      <c r="EV57">
        <v>0</v>
      </c>
      <c r="EW57">
        <v>0</v>
      </c>
      <c r="EX57">
        <v>0</v>
      </c>
      <c r="EY57">
        <v>0</v>
      </c>
      <c r="FQ57">
        <v>0</v>
      </c>
      <c r="FR57">
        <f t="shared" si="45"/>
        <v>0</v>
      </c>
      <c r="FS57">
        <v>0</v>
      </c>
      <c r="FX57">
        <v>0</v>
      </c>
      <c r="FY57">
        <v>0</v>
      </c>
      <c r="GA57" t="s">
        <v>3</v>
      </c>
      <c r="GD57">
        <v>1</v>
      </c>
      <c r="GF57">
        <v>1029604319</v>
      </c>
      <c r="GG57">
        <v>2</v>
      </c>
      <c r="GH57">
        <v>1</v>
      </c>
      <c r="GI57">
        <v>4</v>
      </c>
      <c r="GJ57">
        <v>2</v>
      </c>
      <c r="GK57">
        <v>0</v>
      </c>
      <c r="GL57">
        <f t="shared" si="46"/>
        <v>0</v>
      </c>
      <c r="GM57">
        <f>ROUND(CP57*I57,2)</f>
        <v>0</v>
      </c>
      <c r="GN57">
        <f>IF(OR(BI57=0,BI57=1),ROUND(CP57*I57,2),0)</f>
        <v>0</v>
      </c>
      <c r="GO57">
        <f>IF(BI57=2,ROUND(CP57*I57,2),0)</f>
        <v>0</v>
      </c>
      <c r="GP57">
        <f>IF(BI57=4,ROUND(CP57*I57,2)+GX57,0)</f>
        <v>0</v>
      </c>
      <c r="GR57">
        <v>0</v>
      </c>
      <c r="GS57">
        <v>3</v>
      </c>
      <c r="GT57">
        <v>0</v>
      </c>
      <c r="GU57" t="s">
        <v>3</v>
      </c>
      <c r="GV57">
        <f>0</f>
        <v>0</v>
      </c>
      <c r="GW57">
        <v>1</v>
      </c>
      <c r="GX57">
        <f>0</f>
        <v>0</v>
      </c>
      <c r="HA57">
        <v>0</v>
      </c>
      <c r="HB57">
        <v>0</v>
      </c>
      <c r="HC57">
        <v>0</v>
      </c>
      <c r="HD57">
        <f>GM57</f>
        <v>0</v>
      </c>
      <c r="HE57" t="s">
        <v>3</v>
      </c>
      <c r="HF57" t="s">
        <v>3</v>
      </c>
      <c r="HI57">
        <f t="shared" si="54"/>
        <v>0</v>
      </c>
      <c r="HJ57">
        <f t="shared" si="55"/>
        <v>0</v>
      </c>
      <c r="HM57" t="s">
        <v>3</v>
      </c>
      <c r="HN57" t="s">
        <v>3</v>
      </c>
      <c r="HO57" t="s">
        <v>3</v>
      </c>
      <c r="HP57" t="s">
        <v>3</v>
      </c>
      <c r="HQ57" t="s">
        <v>3</v>
      </c>
      <c r="IK57">
        <v>0</v>
      </c>
    </row>
    <row r="58" spans="1:255">
      <c r="A58" s="2">
        <v>17</v>
      </c>
      <c r="B58" s="2">
        <v>1</v>
      </c>
      <c r="C58" s="2">
        <f>ROW(SmtRes!A51)</f>
        <v>51</v>
      </c>
      <c r="D58" s="2">
        <f>ROW(EtalonRes!A51)</f>
        <v>51</v>
      </c>
      <c r="E58" s="2" t="s">
        <v>3</v>
      </c>
      <c r="F58" s="2" t="s">
        <v>92</v>
      </c>
      <c r="G58" s="2" t="s">
        <v>93</v>
      </c>
      <c r="H58" s="2" t="s">
        <v>43</v>
      </c>
      <c r="I58" s="2">
        <f>ROUND(ROUND(5618/100,4),7)</f>
        <v>56.18</v>
      </c>
      <c r="J58" s="2">
        <v>0</v>
      </c>
      <c r="K58" s="2">
        <f>ROUND(ROUND(5618/100,4),7)</f>
        <v>56.18</v>
      </c>
      <c r="L58" s="2"/>
      <c r="M58" s="2"/>
      <c r="N58" s="2"/>
      <c r="O58" s="2">
        <f t="shared" ref="O58:O65" si="98">ROUND(CP58,2)</f>
        <v>4341.59</v>
      </c>
      <c r="P58" s="2">
        <f t="shared" ref="P58:P65" si="99">ROUND(CQ58*I58,2)</f>
        <v>0</v>
      </c>
      <c r="Q58" s="2">
        <f t="shared" ref="Q58:Q65" si="100">ROUND(CR58*I58,2)</f>
        <v>0</v>
      </c>
      <c r="R58" s="2">
        <f t="shared" ref="R58:R65" si="101">ROUND(CS58*I58,2)</f>
        <v>0</v>
      </c>
      <c r="S58" s="2">
        <f t="shared" ref="S58:S65" si="102">ROUND(CT58*I58,2)</f>
        <v>4341.59</v>
      </c>
      <c r="T58" s="2">
        <f t="shared" ref="T58:T65" si="103">ROUND(CU58*I58,2)</f>
        <v>0</v>
      </c>
      <c r="U58" s="2">
        <f t="shared" ref="U58:U65" si="104">CV58*I58</f>
        <v>508.99080000000004</v>
      </c>
      <c r="V58" s="2">
        <f t="shared" ref="V58:V65" si="105">CW58*I58</f>
        <v>0</v>
      </c>
      <c r="W58" s="2">
        <f t="shared" ref="W58:W65" si="106">ROUND(CX58*I58,2)</f>
        <v>0</v>
      </c>
      <c r="X58" s="2">
        <f t="shared" ref="X58:Y65" si="107">ROUND(CY58,2)</f>
        <v>3864.02</v>
      </c>
      <c r="Y58" s="2">
        <f t="shared" si="107"/>
        <v>1780.05</v>
      </c>
      <c r="Z58" s="2"/>
      <c r="AA58" s="2">
        <v>-1</v>
      </c>
      <c r="AB58" s="2">
        <f t="shared" ref="AB58:AB65" si="108">ROUND((AC58+AD58+AF58),2)</f>
        <v>77.28</v>
      </c>
      <c r="AC58" s="2">
        <f t="shared" ref="AC58:AC65" si="109">ROUND((ES58),2)</f>
        <v>0</v>
      </c>
      <c r="AD58" s="2">
        <f t="shared" ref="AD58:AD65" si="110">ROUND((((ET58)-(EU58))+AE58),2)</f>
        <v>0</v>
      </c>
      <c r="AE58" s="2">
        <f t="shared" ref="AE58:AF65" si="111">ROUND((EU58),2)</f>
        <v>0</v>
      </c>
      <c r="AF58" s="2">
        <f t="shared" si="111"/>
        <v>77.28</v>
      </c>
      <c r="AG58" s="2">
        <f t="shared" ref="AG58:AG65" si="112">ROUND((AP58),2)</f>
        <v>0</v>
      </c>
      <c r="AH58" s="2">
        <f t="shared" ref="AH58:AI65" si="113">(EW58)</f>
        <v>9.06</v>
      </c>
      <c r="AI58" s="2">
        <f t="shared" si="113"/>
        <v>0</v>
      </c>
      <c r="AJ58" s="2">
        <f t="shared" ref="AJ58:AJ65" si="114">(AS58)</f>
        <v>0</v>
      </c>
      <c r="AK58" s="2">
        <v>77.28</v>
      </c>
      <c r="AL58" s="2">
        <v>0</v>
      </c>
      <c r="AM58" s="2">
        <v>0</v>
      </c>
      <c r="AN58" s="2">
        <v>0</v>
      </c>
      <c r="AO58" s="2">
        <v>77.28</v>
      </c>
      <c r="AP58" s="2">
        <v>0</v>
      </c>
      <c r="AQ58" s="2">
        <v>9.06</v>
      </c>
      <c r="AR58" s="2">
        <v>0</v>
      </c>
      <c r="AS58" s="2">
        <v>0</v>
      </c>
      <c r="AT58" s="2">
        <v>89</v>
      </c>
      <c r="AU58" s="2">
        <v>41</v>
      </c>
      <c r="AV58" s="2">
        <v>1</v>
      </c>
      <c r="AW58" s="2">
        <v>1</v>
      </c>
      <c r="AX58" s="2"/>
      <c r="AY58" s="2"/>
      <c r="AZ58" s="2">
        <v>1</v>
      </c>
      <c r="BA58" s="2">
        <v>1</v>
      </c>
      <c r="BB58" s="2">
        <v>1</v>
      </c>
      <c r="BC58" s="2">
        <v>1</v>
      </c>
      <c r="BD58" s="2" t="s">
        <v>3</v>
      </c>
      <c r="BE58" s="2" t="s">
        <v>3</v>
      </c>
      <c r="BF58" s="2" t="s">
        <v>3</v>
      </c>
      <c r="BG58" s="2" t="s">
        <v>3</v>
      </c>
      <c r="BH58" s="2">
        <v>0</v>
      </c>
      <c r="BI58" s="2">
        <v>1</v>
      </c>
      <c r="BJ58" s="2" t="s">
        <v>94</v>
      </c>
      <c r="BK58" s="2"/>
      <c r="BL58" s="2"/>
      <c r="BM58" s="2">
        <v>1007</v>
      </c>
      <c r="BN58" s="2">
        <v>0</v>
      </c>
      <c r="BO58" s="2" t="s">
        <v>3</v>
      </c>
      <c r="BP58" s="2">
        <v>0</v>
      </c>
      <c r="BQ58" s="2">
        <v>2</v>
      </c>
      <c r="BR58" s="2">
        <v>0</v>
      </c>
      <c r="BS58" s="2">
        <v>1</v>
      </c>
      <c r="BT58" s="2">
        <v>1</v>
      </c>
      <c r="BU58" s="2">
        <v>1</v>
      </c>
      <c r="BV58" s="2">
        <v>1</v>
      </c>
      <c r="BW58" s="2">
        <v>1</v>
      </c>
      <c r="BX58" s="2">
        <v>1</v>
      </c>
      <c r="BY58" s="2" t="s">
        <v>3</v>
      </c>
      <c r="BZ58" s="2">
        <v>89</v>
      </c>
      <c r="CA58" s="2">
        <v>41</v>
      </c>
      <c r="CB58" s="2" t="s">
        <v>3</v>
      </c>
      <c r="CC58" s="2"/>
      <c r="CD58" s="2"/>
      <c r="CE58" s="2">
        <v>0</v>
      </c>
      <c r="CF58" s="2">
        <v>0</v>
      </c>
      <c r="CG58" s="2">
        <v>0</v>
      </c>
      <c r="CH58" s="2"/>
      <c r="CI58" s="2"/>
      <c r="CJ58" s="2"/>
      <c r="CK58" s="2"/>
      <c r="CL58" s="2"/>
      <c r="CM58" s="2">
        <v>0</v>
      </c>
      <c r="CN58" s="2" t="s">
        <v>3</v>
      </c>
      <c r="CO58" s="2">
        <v>0</v>
      </c>
      <c r="CP58" s="2">
        <f t="shared" ref="CP58:CP65" si="115">(P58+Q58+S58)</f>
        <v>4341.59</v>
      </c>
      <c r="CQ58" s="2">
        <f t="shared" ref="CQ58:CQ65" si="116">AC58*BC58</f>
        <v>0</v>
      </c>
      <c r="CR58" s="2">
        <f t="shared" ref="CR58:CR65" si="117">AD58*BB58</f>
        <v>0</v>
      </c>
      <c r="CS58" s="2">
        <f t="shared" ref="CS58:CX65" si="118">AE58</f>
        <v>0</v>
      </c>
      <c r="CT58" s="2">
        <f t="shared" si="118"/>
        <v>77.28</v>
      </c>
      <c r="CU58" s="2">
        <f t="shared" si="118"/>
        <v>0</v>
      </c>
      <c r="CV58" s="2">
        <f t="shared" si="118"/>
        <v>9.06</v>
      </c>
      <c r="CW58" s="2">
        <f t="shared" si="118"/>
        <v>0</v>
      </c>
      <c r="CX58" s="2">
        <f t="shared" si="118"/>
        <v>0</v>
      </c>
      <c r="CY58" s="2">
        <f t="shared" ref="CY58:CY65" si="119">(((S58+R58)*AT58)/100)</f>
        <v>3864.0151000000001</v>
      </c>
      <c r="CZ58" s="2">
        <f t="shared" ref="CZ58:CZ65" si="120">(((S58+R58)*AU58)/100)</f>
        <v>1780.0518999999999</v>
      </c>
      <c r="DA58" s="2"/>
      <c r="DB58" s="2"/>
      <c r="DC58" s="2" t="s">
        <v>3</v>
      </c>
      <c r="DD58" s="2" t="s">
        <v>3</v>
      </c>
      <c r="DE58" s="2" t="s">
        <v>3</v>
      </c>
      <c r="DF58" s="2" t="s">
        <v>3</v>
      </c>
      <c r="DG58" s="2" t="s">
        <v>3</v>
      </c>
      <c r="DH58" s="2" t="s">
        <v>3</v>
      </c>
      <c r="DI58" s="2" t="s">
        <v>3</v>
      </c>
      <c r="DJ58" s="2" t="s">
        <v>3</v>
      </c>
      <c r="DK58" s="2" t="s">
        <v>3</v>
      </c>
      <c r="DL58" s="2" t="s">
        <v>3</v>
      </c>
      <c r="DM58" s="2" t="s">
        <v>3</v>
      </c>
      <c r="DN58" s="2">
        <v>0</v>
      </c>
      <c r="DO58" s="2">
        <v>0</v>
      </c>
      <c r="DP58" s="2">
        <v>1</v>
      </c>
      <c r="DQ58" s="2">
        <v>1</v>
      </c>
      <c r="DR58" s="2"/>
      <c r="DS58" s="2"/>
      <c r="DT58" s="2"/>
      <c r="DU58" s="2">
        <v>1005</v>
      </c>
      <c r="DV58" s="2" t="s">
        <v>43</v>
      </c>
      <c r="DW58" s="2" t="s">
        <v>43</v>
      </c>
      <c r="DX58" s="2">
        <v>100</v>
      </c>
      <c r="DY58" s="2"/>
      <c r="DZ58" s="2" t="s">
        <v>3</v>
      </c>
      <c r="EA58" s="2" t="s">
        <v>3</v>
      </c>
      <c r="EB58" s="2" t="s">
        <v>3</v>
      </c>
      <c r="EC58" s="2" t="s">
        <v>3</v>
      </c>
      <c r="ED58" s="2"/>
      <c r="EE58" s="2">
        <v>65361093</v>
      </c>
      <c r="EF58" s="2">
        <v>2</v>
      </c>
      <c r="EG58" s="2" t="s">
        <v>45</v>
      </c>
      <c r="EH58" s="2">
        <v>1</v>
      </c>
      <c r="EI58" s="2" t="s">
        <v>46</v>
      </c>
      <c r="EJ58" s="2">
        <v>1</v>
      </c>
      <c r="EK58" s="2">
        <v>1007</v>
      </c>
      <c r="EL58" s="2" t="s">
        <v>47</v>
      </c>
      <c r="EM58" s="2" t="s">
        <v>48</v>
      </c>
      <c r="EN58" s="2"/>
      <c r="EO58" s="2" t="s">
        <v>3</v>
      </c>
      <c r="EP58" s="2"/>
      <c r="EQ58" s="2">
        <v>1024</v>
      </c>
      <c r="ER58" s="2">
        <v>77.28</v>
      </c>
      <c r="ES58" s="2">
        <v>0</v>
      </c>
      <c r="ET58" s="2">
        <v>0</v>
      </c>
      <c r="EU58" s="2">
        <v>0</v>
      </c>
      <c r="EV58" s="2">
        <v>77.28</v>
      </c>
      <c r="EW58" s="2">
        <v>9.06</v>
      </c>
      <c r="EX58" s="2">
        <v>0</v>
      </c>
      <c r="EY58" s="2">
        <v>0</v>
      </c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>
        <v>0</v>
      </c>
      <c r="FR58" s="2">
        <f t="shared" si="45"/>
        <v>0</v>
      </c>
      <c r="FS58" s="2">
        <v>0</v>
      </c>
      <c r="FT58" s="2"/>
      <c r="FU58" s="2"/>
      <c r="FV58" s="2"/>
      <c r="FW58" s="2"/>
      <c r="FX58" s="2">
        <v>89</v>
      </c>
      <c r="FY58" s="2">
        <v>41</v>
      </c>
      <c r="FZ58" s="2"/>
      <c r="GA58" s="2" t="s">
        <v>3</v>
      </c>
      <c r="GB58" s="2"/>
      <c r="GC58" s="2"/>
      <c r="GD58" s="2">
        <v>1</v>
      </c>
      <c r="GE58" s="2"/>
      <c r="GF58" s="2">
        <v>-1776651229</v>
      </c>
      <c r="GG58" s="2">
        <v>2</v>
      </c>
      <c r="GH58" s="2">
        <v>1</v>
      </c>
      <c r="GI58" s="2">
        <v>-2</v>
      </c>
      <c r="GJ58" s="2">
        <v>0</v>
      </c>
      <c r="GK58" s="2">
        <v>0</v>
      </c>
      <c r="GL58" s="2">
        <f t="shared" si="46"/>
        <v>0</v>
      </c>
      <c r="GM58" s="2">
        <f t="shared" ref="GM58:GM65" si="121">ROUND(O58+X58+Y58,2)+GX58</f>
        <v>9985.66</v>
      </c>
      <c r="GN58" s="2">
        <f t="shared" ref="GN58:GN65" si="122">IF(OR(BI58=0,BI58=1),ROUND(O58+X58+Y58,2),0)</f>
        <v>9985.66</v>
      </c>
      <c r="GO58" s="2">
        <f t="shared" ref="GO58:GO65" si="123">IF(BI58=2,ROUND(O58+X58+Y58,2),0)</f>
        <v>0</v>
      </c>
      <c r="GP58" s="2">
        <f t="shared" ref="GP58:GP65" si="124">IF(BI58=4,ROUND(O58+X58+Y58,2)+GX58,0)</f>
        <v>0</v>
      </c>
      <c r="GQ58" s="2"/>
      <c r="GR58" s="2">
        <v>0</v>
      </c>
      <c r="GS58" s="2">
        <v>3</v>
      </c>
      <c r="GT58" s="2">
        <v>0</v>
      </c>
      <c r="GU58" s="2" t="s">
        <v>3</v>
      </c>
      <c r="GV58" s="2">
        <f t="shared" ref="GV58:GV65" si="125">ROUND((GT58),2)</f>
        <v>0</v>
      </c>
      <c r="GW58" s="2">
        <v>1</v>
      </c>
      <c r="GX58" s="2">
        <f t="shared" ref="GX58:GX65" si="126">ROUND(HC58*I58,2)</f>
        <v>0</v>
      </c>
      <c r="GY58" s="2"/>
      <c r="GZ58" s="2"/>
      <c r="HA58" s="2">
        <v>0</v>
      </c>
      <c r="HB58" s="2">
        <v>0</v>
      </c>
      <c r="HC58" s="2">
        <f t="shared" ref="HC58:HC65" si="127">GV58*GW58</f>
        <v>0</v>
      </c>
      <c r="HD58" s="2"/>
      <c r="HE58" s="2" t="s">
        <v>3</v>
      </c>
      <c r="HF58" s="2" t="s">
        <v>3</v>
      </c>
      <c r="HG58" s="2"/>
      <c r="HH58" s="2"/>
      <c r="HI58" s="2">
        <f t="shared" si="54"/>
        <v>0</v>
      </c>
      <c r="HJ58" s="2">
        <f t="shared" si="55"/>
        <v>4341.59</v>
      </c>
      <c r="HK58" s="2">
        <f t="shared" ref="HK58:HK65" si="128">ROUND((((HJ58+HI58)*AT58)/100),2)</f>
        <v>3864.02</v>
      </c>
      <c r="HL58" s="2">
        <f t="shared" ref="HL58:HL65" si="129">ROUND((((HJ58+HI58)*AU58)/100),2)</f>
        <v>1780.05</v>
      </c>
      <c r="HM58" s="2" t="s">
        <v>3</v>
      </c>
      <c r="HN58" s="2" t="s">
        <v>49</v>
      </c>
      <c r="HO58" s="2" t="s">
        <v>50</v>
      </c>
      <c r="HP58" s="2" t="s">
        <v>51</v>
      </c>
      <c r="HQ58" s="2" t="s">
        <v>51</v>
      </c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>
        <v>0</v>
      </c>
      <c r="IL58" s="2"/>
      <c r="IM58" s="2"/>
      <c r="IN58" s="2"/>
      <c r="IO58" s="2"/>
      <c r="IP58" s="2"/>
      <c r="IQ58" s="2"/>
      <c r="IR58" s="2"/>
      <c r="IS58" s="2"/>
      <c r="IT58" s="2"/>
      <c r="IU58" s="2"/>
    </row>
    <row r="59" spans="1:255">
      <c r="A59">
        <v>17</v>
      </c>
      <c r="B59">
        <v>1</v>
      </c>
      <c r="C59">
        <f>ROW(SmtRes!A52)</f>
        <v>52</v>
      </c>
      <c r="D59">
        <f>ROW(EtalonRes!A52)</f>
        <v>52</v>
      </c>
      <c r="E59" t="s">
        <v>3</v>
      </c>
      <c r="F59" t="s">
        <v>92</v>
      </c>
      <c r="G59" t="s">
        <v>93</v>
      </c>
      <c r="H59" t="s">
        <v>43</v>
      </c>
      <c r="I59">
        <f>ROUND(ROUND(5618/100,4),7)</f>
        <v>56.18</v>
      </c>
      <c r="J59">
        <v>0</v>
      </c>
      <c r="K59">
        <f>ROUND(ROUND(5618/100,4),7)</f>
        <v>56.18</v>
      </c>
      <c r="O59">
        <f t="shared" si="98"/>
        <v>4341.59</v>
      </c>
      <c r="P59">
        <f t="shared" si="99"/>
        <v>0</v>
      </c>
      <c r="Q59">
        <f t="shared" si="100"/>
        <v>0</v>
      </c>
      <c r="R59">
        <f t="shared" si="101"/>
        <v>0</v>
      </c>
      <c r="S59">
        <f t="shared" si="102"/>
        <v>4341.59</v>
      </c>
      <c r="T59">
        <f t="shared" si="103"/>
        <v>0</v>
      </c>
      <c r="U59">
        <f t="shared" si="104"/>
        <v>508.99080000000004</v>
      </c>
      <c r="V59">
        <f t="shared" si="105"/>
        <v>0</v>
      </c>
      <c r="W59">
        <f t="shared" si="106"/>
        <v>0</v>
      </c>
      <c r="X59">
        <f t="shared" si="107"/>
        <v>3864.02</v>
      </c>
      <c r="Y59">
        <f t="shared" si="107"/>
        <v>1780.05</v>
      </c>
      <c r="AA59">
        <v>-1</v>
      </c>
      <c r="AB59">
        <f t="shared" si="108"/>
        <v>77.28</v>
      </c>
      <c r="AC59">
        <f t="shared" si="109"/>
        <v>0</v>
      </c>
      <c r="AD59">
        <f t="shared" si="110"/>
        <v>0</v>
      </c>
      <c r="AE59">
        <f t="shared" si="111"/>
        <v>0</v>
      </c>
      <c r="AF59">
        <f t="shared" si="111"/>
        <v>77.28</v>
      </c>
      <c r="AG59">
        <f t="shared" si="112"/>
        <v>0</v>
      </c>
      <c r="AH59">
        <f t="shared" si="113"/>
        <v>9.06</v>
      </c>
      <c r="AI59">
        <f t="shared" si="113"/>
        <v>0</v>
      </c>
      <c r="AJ59">
        <f t="shared" si="114"/>
        <v>0</v>
      </c>
      <c r="AK59">
        <v>77.28</v>
      </c>
      <c r="AL59">
        <v>0</v>
      </c>
      <c r="AM59">
        <v>0</v>
      </c>
      <c r="AN59">
        <v>0</v>
      </c>
      <c r="AO59">
        <v>77.28</v>
      </c>
      <c r="AP59">
        <v>0</v>
      </c>
      <c r="AQ59">
        <v>9.06</v>
      </c>
      <c r="AR59">
        <v>0</v>
      </c>
      <c r="AS59">
        <v>0</v>
      </c>
      <c r="AT59">
        <v>89</v>
      </c>
      <c r="AU59">
        <v>41</v>
      </c>
      <c r="AV59">
        <v>1</v>
      </c>
      <c r="AW59">
        <v>1</v>
      </c>
      <c r="AZ59">
        <v>1</v>
      </c>
      <c r="BA59">
        <v>24.24</v>
      </c>
      <c r="BB59">
        <v>1</v>
      </c>
      <c r="BC59">
        <v>1</v>
      </c>
      <c r="BD59" t="s">
        <v>3</v>
      </c>
      <c r="BE59" t="s">
        <v>3</v>
      </c>
      <c r="BF59" t="s">
        <v>3</v>
      </c>
      <c r="BG59" t="s">
        <v>3</v>
      </c>
      <c r="BH59">
        <v>0</v>
      </c>
      <c r="BI59">
        <v>1</v>
      </c>
      <c r="BJ59" t="s">
        <v>94</v>
      </c>
      <c r="BM59">
        <v>1007</v>
      </c>
      <c r="BN59">
        <v>0</v>
      </c>
      <c r="BO59" t="s">
        <v>3</v>
      </c>
      <c r="BP59">
        <v>0</v>
      </c>
      <c r="BQ59">
        <v>2</v>
      </c>
      <c r="BR59">
        <v>0</v>
      </c>
      <c r="BS59">
        <v>24.24</v>
      </c>
      <c r="BT59">
        <v>1</v>
      </c>
      <c r="BU59">
        <v>1</v>
      </c>
      <c r="BV59">
        <v>1</v>
      </c>
      <c r="BW59">
        <v>1</v>
      </c>
      <c r="BX59">
        <v>1</v>
      </c>
      <c r="BY59" t="s">
        <v>3</v>
      </c>
      <c r="BZ59">
        <v>89</v>
      </c>
      <c r="CA59">
        <v>41</v>
      </c>
      <c r="CB59" t="s">
        <v>3</v>
      </c>
      <c r="CE59">
        <v>0</v>
      </c>
      <c r="CF59">
        <v>0</v>
      </c>
      <c r="CG59">
        <v>0</v>
      </c>
      <c r="CM59">
        <v>0</v>
      </c>
      <c r="CN59" t="s">
        <v>3</v>
      </c>
      <c r="CO59">
        <v>0</v>
      </c>
      <c r="CP59">
        <f t="shared" si="115"/>
        <v>4341.59</v>
      </c>
      <c r="CQ59">
        <f t="shared" si="116"/>
        <v>0</v>
      </c>
      <c r="CR59">
        <f t="shared" si="117"/>
        <v>0</v>
      </c>
      <c r="CS59">
        <f t="shared" si="118"/>
        <v>0</v>
      </c>
      <c r="CT59">
        <f t="shared" si="118"/>
        <v>77.28</v>
      </c>
      <c r="CU59">
        <f t="shared" si="118"/>
        <v>0</v>
      </c>
      <c r="CV59">
        <f t="shared" si="118"/>
        <v>9.06</v>
      </c>
      <c r="CW59">
        <f t="shared" si="118"/>
        <v>0</v>
      </c>
      <c r="CX59">
        <f t="shared" si="118"/>
        <v>0</v>
      </c>
      <c r="CY59">
        <f t="shared" si="119"/>
        <v>3864.0151000000001</v>
      </c>
      <c r="CZ59">
        <f t="shared" si="120"/>
        <v>1780.0518999999999</v>
      </c>
      <c r="DC59" t="s">
        <v>3</v>
      </c>
      <c r="DD59" t="s">
        <v>3</v>
      </c>
      <c r="DE59" t="s">
        <v>3</v>
      </c>
      <c r="DF59" t="s">
        <v>3</v>
      </c>
      <c r="DG59" t="s">
        <v>3</v>
      </c>
      <c r="DH59" t="s">
        <v>3</v>
      </c>
      <c r="DI59" t="s">
        <v>3</v>
      </c>
      <c r="DJ59" t="s">
        <v>3</v>
      </c>
      <c r="DK59" t="s">
        <v>3</v>
      </c>
      <c r="DL59" t="s">
        <v>3</v>
      </c>
      <c r="DM59" t="s">
        <v>3</v>
      </c>
      <c r="DN59">
        <v>0</v>
      </c>
      <c r="DO59">
        <v>0</v>
      </c>
      <c r="DP59">
        <v>1</v>
      </c>
      <c r="DQ59">
        <v>1</v>
      </c>
      <c r="DU59">
        <v>1005</v>
      </c>
      <c r="DV59" t="s">
        <v>43</v>
      </c>
      <c r="DW59" t="s">
        <v>43</v>
      </c>
      <c r="DX59">
        <v>100</v>
      </c>
      <c r="DZ59" t="s">
        <v>3</v>
      </c>
      <c r="EA59" t="s">
        <v>3</v>
      </c>
      <c r="EB59" t="s">
        <v>3</v>
      </c>
      <c r="EC59" t="s">
        <v>3</v>
      </c>
      <c r="EE59">
        <v>65361093</v>
      </c>
      <c r="EF59">
        <v>2</v>
      </c>
      <c r="EG59" t="s">
        <v>45</v>
      </c>
      <c r="EH59">
        <v>1</v>
      </c>
      <c r="EI59" t="s">
        <v>46</v>
      </c>
      <c r="EJ59">
        <v>1</v>
      </c>
      <c r="EK59">
        <v>1007</v>
      </c>
      <c r="EL59" t="s">
        <v>47</v>
      </c>
      <c r="EM59" t="s">
        <v>48</v>
      </c>
      <c r="EO59" t="s">
        <v>3</v>
      </c>
      <c r="EQ59">
        <v>1024</v>
      </c>
      <c r="ER59">
        <v>77.28</v>
      </c>
      <c r="ES59">
        <v>0</v>
      </c>
      <c r="ET59">
        <v>0</v>
      </c>
      <c r="EU59">
        <v>0</v>
      </c>
      <c r="EV59">
        <v>77.28</v>
      </c>
      <c r="EW59">
        <v>9.06</v>
      </c>
      <c r="EX59">
        <v>0</v>
      </c>
      <c r="EY59">
        <v>0</v>
      </c>
      <c r="FQ59">
        <v>0</v>
      </c>
      <c r="FR59">
        <f t="shared" si="45"/>
        <v>0</v>
      </c>
      <c r="FS59">
        <v>0</v>
      </c>
      <c r="FX59">
        <v>89</v>
      </c>
      <c r="FY59">
        <v>41</v>
      </c>
      <c r="GA59" t="s">
        <v>3</v>
      </c>
      <c r="GD59">
        <v>1</v>
      </c>
      <c r="GF59">
        <v>-1776651229</v>
      </c>
      <c r="GG59">
        <v>2</v>
      </c>
      <c r="GH59">
        <v>1</v>
      </c>
      <c r="GI59">
        <v>4</v>
      </c>
      <c r="GJ59">
        <v>0</v>
      </c>
      <c r="GK59">
        <v>0</v>
      </c>
      <c r="GL59">
        <f t="shared" si="46"/>
        <v>0</v>
      </c>
      <c r="GM59">
        <f t="shared" si="121"/>
        <v>9985.66</v>
      </c>
      <c r="GN59">
        <f t="shared" si="122"/>
        <v>9985.66</v>
      </c>
      <c r="GO59">
        <f t="shared" si="123"/>
        <v>0</v>
      </c>
      <c r="GP59">
        <f t="shared" si="124"/>
        <v>0</v>
      </c>
      <c r="GR59">
        <v>0</v>
      </c>
      <c r="GS59">
        <v>3</v>
      </c>
      <c r="GT59">
        <v>0</v>
      </c>
      <c r="GU59" t="s">
        <v>3</v>
      </c>
      <c r="GV59">
        <f t="shared" si="125"/>
        <v>0</v>
      </c>
      <c r="GW59">
        <v>1</v>
      </c>
      <c r="GX59">
        <f t="shared" si="126"/>
        <v>0</v>
      </c>
      <c r="HA59">
        <v>0</v>
      </c>
      <c r="HB59">
        <v>0</v>
      </c>
      <c r="HC59">
        <f t="shared" si="127"/>
        <v>0</v>
      </c>
      <c r="HE59" t="s">
        <v>3</v>
      </c>
      <c r="HF59" t="s">
        <v>3</v>
      </c>
      <c r="HI59">
        <f t="shared" si="54"/>
        <v>0</v>
      </c>
      <c r="HJ59">
        <f t="shared" si="55"/>
        <v>105240.14</v>
      </c>
      <c r="HK59">
        <f t="shared" si="128"/>
        <v>93663.72</v>
      </c>
      <c r="HL59">
        <f t="shared" si="129"/>
        <v>43148.46</v>
      </c>
      <c r="HM59" t="s">
        <v>3</v>
      </c>
      <c r="HN59" t="s">
        <v>49</v>
      </c>
      <c r="HO59" t="s">
        <v>50</v>
      </c>
      <c r="HP59" t="s">
        <v>51</v>
      </c>
      <c r="HQ59" t="s">
        <v>51</v>
      </c>
      <c r="IK59">
        <v>0</v>
      </c>
    </row>
    <row r="60" spans="1:255">
      <c r="A60" s="2">
        <v>17</v>
      </c>
      <c r="B60" s="2">
        <v>1</v>
      </c>
      <c r="C60" s="2">
        <f>ROW(SmtRes!A55)</f>
        <v>55</v>
      </c>
      <c r="D60" s="2">
        <f>ROW(EtalonRes!A55)</f>
        <v>55</v>
      </c>
      <c r="E60" s="2" t="s">
        <v>95</v>
      </c>
      <c r="F60" s="2" t="s">
        <v>96</v>
      </c>
      <c r="G60" s="2" t="s">
        <v>97</v>
      </c>
      <c r="H60" s="2" t="s">
        <v>21</v>
      </c>
      <c r="I60" s="2">
        <v>0</v>
      </c>
      <c r="J60" s="2">
        <v>0</v>
      </c>
      <c r="K60" s="2">
        <v>0</v>
      </c>
      <c r="L60" s="2"/>
      <c r="M60" s="2"/>
      <c r="N60" s="2"/>
      <c r="O60" s="2">
        <f t="shared" si="98"/>
        <v>0</v>
      </c>
      <c r="P60" s="2">
        <f t="shared" si="99"/>
        <v>0</v>
      </c>
      <c r="Q60" s="2">
        <f t="shared" si="100"/>
        <v>0</v>
      </c>
      <c r="R60" s="2">
        <f t="shared" si="101"/>
        <v>0</v>
      </c>
      <c r="S60" s="2">
        <f t="shared" si="102"/>
        <v>0</v>
      </c>
      <c r="T60" s="2">
        <f t="shared" si="103"/>
        <v>0</v>
      </c>
      <c r="U60" s="2">
        <f t="shared" si="104"/>
        <v>0</v>
      </c>
      <c r="V60" s="2">
        <f t="shared" si="105"/>
        <v>0</v>
      </c>
      <c r="W60" s="2">
        <f t="shared" si="106"/>
        <v>0</v>
      </c>
      <c r="X60" s="2">
        <f t="shared" si="107"/>
        <v>0</v>
      </c>
      <c r="Y60" s="2">
        <f t="shared" si="107"/>
        <v>0</v>
      </c>
      <c r="Z60" s="2"/>
      <c r="AA60" s="2">
        <v>73147424</v>
      </c>
      <c r="AB60" s="2">
        <f t="shared" si="108"/>
        <v>142.03</v>
      </c>
      <c r="AC60" s="2">
        <f t="shared" si="109"/>
        <v>0</v>
      </c>
      <c r="AD60" s="2">
        <f t="shared" si="110"/>
        <v>129.97</v>
      </c>
      <c r="AE60" s="2">
        <f t="shared" si="111"/>
        <v>7.54</v>
      </c>
      <c r="AF60" s="2">
        <f t="shared" si="111"/>
        <v>12.06</v>
      </c>
      <c r="AG60" s="2">
        <f t="shared" si="112"/>
        <v>0</v>
      </c>
      <c r="AH60" s="2">
        <f t="shared" si="113"/>
        <v>1.33</v>
      </c>
      <c r="AI60" s="2">
        <f t="shared" si="113"/>
        <v>0.65</v>
      </c>
      <c r="AJ60" s="2">
        <f t="shared" si="114"/>
        <v>0</v>
      </c>
      <c r="AK60" s="2">
        <v>142.03</v>
      </c>
      <c r="AL60" s="2">
        <v>0</v>
      </c>
      <c r="AM60" s="2">
        <v>129.97</v>
      </c>
      <c r="AN60" s="2">
        <v>7.54</v>
      </c>
      <c r="AO60" s="2">
        <v>12.06</v>
      </c>
      <c r="AP60" s="2">
        <v>0</v>
      </c>
      <c r="AQ60" s="2">
        <v>1.33</v>
      </c>
      <c r="AR60" s="2">
        <v>0.65</v>
      </c>
      <c r="AS60" s="2">
        <v>0</v>
      </c>
      <c r="AT60" s="2">
        <v>102</v>
      </c>
      <c r="AU60" s="2">
        <v>54</v>
      </c>
      <c r="AV60" s="2">
        <v>1</v>
      </c>
      <c r="AW60" s="2">
        <v>1</v>
      </c>
      <c r="AX60" s="2"/>
      <c r="AY60" s="2"/>
      <c r="AZ60" s="2">
        <v>1</v>
      </c>
      <c r="BA60" s="2">
        <v>1</v>
      </c>
      <c r="BB60" s="2">
        <v>1</v>
      </c>
      <c r="BC60" s="2">
        <v>1</v>
      </c>
      <c r="BD60" s="2" t="s">
        <v>3</v>
      </c>
      <c r="BE60" s="2" t="s">
        <v>3</v>
      </c>
      <c r="BF60" s="2" t="s">
        <v>3</v>
      </c>
      <c r="BG60" s="2" t="s">
        <v>3</v>
      </c>
      <c r="BH60" s="2">
        <v>0</v>
      </c>
      <c r="BI60" s="2">
        <v>1</v>
      </c>
      <c r="BJ60" s="2" t="s">
        <v>98</v>
      </c>
      <c r="BK60" s="2"/>
      <c r="BL60" s="2"/>
      <c r="BM60" s="2">
        <v>68001</v>
      </c>
      <c r="BN60" s="2">
        <v>0</v>
      </c>
      <c r="BO60" s="2" t="s">
        <v>3</v>
      </c>
      <c r="BP60" s="2">
        <v>0</v>
      </c>
      <c r="BQ60" s="2">
        <v>6</v>
      </c>
      <c r="BR60" s="2">
        <v>0</v>
      </c>
      <c r="BS60" s="2">
        <v>1</v>
      </c>
      <c r="BT60" s="2">
        <v>1</v>
      </c>
      <c r="BU60" s="2">
        <v>1</v>
      </c>
      <c r="BV60" s="2">
        <v>1</v>
      </c>
      <c r="BW60" s="2">
        <v>1</v>
      </c>
      <c r="BX60" s="2">
        <v>1</v>
      </c>
      <c r="BY60" s="2" t="s">
        <v>3</v>
      </c>
      <c r="BZ60" s="2">
        <v>102</v>
      </c>
      <c r="CA60" s="2">
        <v>54</v>
      </c>
      <c r="CB60" s="2" t="s">
        <v>3</v>
      </c>
      <c r="CC60" s="2"/>
      <c r="CD60" s="2"/>
      <c r="CE60" s="2">
        <v>0</v>
      </c>
      <c r="CF60" s="2">
        <v>0</v>
      </c>
      <c r="CG60" s="2">
        <v>0</v>
      </c>
      <c r="CH60" s="2"/>
      <c r="CI60" s="2"/>
      <c r="CJ60" s="2"/>
      <c r="CK60" s="2"/>
      <c r="CL60" s="2"/>
      <c r="CM60" s="2">
        <v>0</v>
      </c>
      <c r="CN60" s="2" t="s">
        <v>3</v>
      </c>
      <c r="CO60" s="2">
        <v>0</v>
      </c>
      <c r="CP60" s="2">
        <f t="shared" si="115"/>
        <v>0</v>
      </c>
      <c r="CQ60" s="2">
        <f t="shared" si="116"/>
        <v>0</v>
      </c>
      <c r="CR60" s="2">
        <f t="shared" si="117"/>
        <v>129.97</v>
      </c>
      <c r="CS60" s="2">
        <f t="shared" si="118"/>
        <v>7.54</v>
      </c>
      <c r="CT60" s="2">
        <f t="shared" si="118"/>
        <v>12.06</v>
      </c>
      <c r="CU60" s="2">
        <f t="shared" si="118"/>
        <v>0</v>
      </c>
      <c r="CV60" s="2">
        <f t="shared" si="118"/>
        <v>1.33</v>
      </c>
      <c r="CW60" s="2">
        <f t="shared" si="118"/>
        <v>0.65</v>
      </c>
      <c r="CX60" s="2">
        <f t="shared" si="118"/>
        <v>0</v>
      </c>
      <c r="CY60" s="2">
        <f t="shared" si="119"/>
        <v>0</v>
      </c>
      <c r="CZ60" s="2">
        <f t="shared" si="120"/>
        <v>0</v>
      </c>
      <c r="DA60" s="2"/>
      <c r="DB60" s="2"/>
      <c r="DC60" s="2" t="s">
        <v>3</v>
      </c>
      <c r="DD60" s="2" t="s">
        <v>3</v>
      </c>
      <c r="DE60" s="2" t="s">
        <v>3</v>
      </c>
      <c r="DF60" s="2" t="s">
        <v>3</v>
      </c>
      <c r="DG60" s="2" t="s">
        <v>3</v>
      </c>
      <c r="DH60" s="2" t="s">
        <v>3</v>
      </c>
      <c r="DI60" s="2" t="s">
        <v>3</v>
      </c>
      <c r="DJ60" s="2" t="s">
        <v>3</v>
      </c>
      <c r="DK60" s="2" t="s">
        <v>3</v>
      </c>
      <c r="DL60" s="2" t="s">
        <v>3</v>
      </c>
      <c r="DM60" s="2" t="s">
        <v>3</v>
      </c>
      <c r="DN60" s="2">
        <v>0</v>
      </c>
      <c r="DO60" s="2">
        <v>0</v>
      </c>
      <c r="DP60" s="2">
        <v>1</v>
      </c>
      <c r="DQ60" s="2">
        <v>1</v>
      </c>
      <c r="DR60" s="2"/>
      <c r="DS60" s="2"/>
      <c r="DT60" s="2"/>
      <c r="DU60" s="2">
        <v>1007</v>
      </c>
      <c r="DV60" s="2" t="s">
        <v>21</v>
      </c>
      <c r="DW60" s="2" t="s">
        <v>21</v>
      </c>
      <c r="DX60" s="2">
        <v>1</v>
      </c>
      <c r="DY60" s="2"/>
      <c r="DZ60" s="2" t="s">
        <v>3</v>
      </c>
      <c r="EA60" s="2" t="s">
        <v>3</v>
      </c>
      <c r="EB60" s="2" t="s">
        <v>3</v>
      </c>
      <c r="EC60" s="2" t="s">
        <v>3</v>
      </c>
      <c r="ED60" s="2"/>
      <c r="EE60" s="2">
        <v>65361239</v>
      </c>
      <c r="EF60" s="2">
        <v>6</v>
      </c>
      <c r="EG60" s="2" t="s">
        <v>23</v>
      </c>
      <c r="EH60" s="2">
        <v>102</v>
      </c>
      <c r="EI60" s="2" t="s">
        <v>24</v>
      </c>
      <c r="EJ60" s="2">
        <v>1</v>
      </c>
      <c r="EK60" s="2">
        <v>68001</v>
      </c>
      <c r="EL60" s="2" t="s">
        <v>24</v>
      </c>
      <c r="EM60" s="2" t="s">
        <v>25</v>
      </c>
      <c r="EN60" s="2"/>
      <c r="EO60" s="2" t="s">
        <v>3</v>
      </c>
      <c r="EP60" s="2"/>
      <c r="EQ60" s="2">
        <v>0</v>
      </c>
      <c r="ER60" s="2">
        <v>142.03</v>
      </c>
      <c r="ES60" s="2">
        <v>0</v>
      </c>
      <c r="ET60" s="2">
        <v>129.97</v>
      </c>
      <c r="EU60" s="2">
        <v>7.54</v>
      </c>
      <c r="EV60" s="2">
        <v>12.06</v>
      </c>
      <c r="EW60" s="2">
        <v>1.33</v>
      </c>
      <c r="EX60" s="2">
        <v>0.65</v>
      </c>
      <c r="EY60" s="2">
        <v>0</v>
      </c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>
        <v>0</v>
      </c>
      <c r="FR60" s="2">
        <f t="shared" si="45"/>
        <v>0</v>
      </c>
      <c r="FS60" s="2">
        <v>0</v>
      </c>
      <c r="FT60" s="2"/>
      <c r="FU60" s="2"/>
      <c r="FV60" s="2"/>
      <c r="FW60" s="2"/>
      <c r="FX60" s="2">
        <v>102</v>
      </c>
      <c r="FY60" s="2">
        <v>54</v>
      </c>
      <c r="FZ60" s="2"/>
      <c r="GA60" s="2" t="s">
        <v>3</v>
      </c>
      <c r="GB60" s="2"/>
      <c r="GC60" s="2"/>
      <c r="GD60" s="2">
        <v>1</v>
      </c>
      <c r="GE60" s="2"/>
      <c r="GF60" s="2">
        <v>-720376341</v>
      </c>
      <c r="GG60" s="2">
        <v>2</v>
      </c>
      <c r="GH60" s="2">
        <v>1</v>
      </c>
      <c r="GI60" s="2">
        <v>-2</v>
      </c>
      <c r="GJ60" s="2">
        <v>0</v>
      </c>
      <c r="GK60" s="2">
        <v>0</v>
      </c>
      <c r="GL60" s="2">
        <f t="shared" si="46"/>
        <v>0</v>
      </c>
      <c r="GM60" s="2">
        <f t="shared" si="121"/>
        <v>0</v>
      </c>
      <c r="GN60" s="2">
        <f t="shared" si="122"/>
        <v>0</v>
      </c>
      <c r="GO60" s="2">
        <f t="shared" si="123"/>
        <v>0</v>
      </c>
      <c r="GP60" s="2">
        <f t="shared" si="124"/>
        <v>0</v>
      </c>
      <c r="GQ60" s="2"/>
      <c r="GR60" s="2">
        <v>0</v>
      </c>
      <c r="GS60" s="2">
        <v>3</v>
      </c>
      <c r="GT60" s="2">
        <v>0</v>
      </c>
      <c r="GU60" s="2" t="s">
        <v>3</v>
      </c>
      <c r="GV60" s="2">
        <f t="shared" si="125"/>
        <v>0</v>
      </c>
      <c r="GW60" s="2">
        <v>1</v>
      </c>
      <c r="GX60" s="2">
        <f t="shared" si="126"/>
        <v>0</v>
      </c>
      <c r="GY60" s="2"/>
      <c r="GZ60" s="2"/>
      <c r="HA60" s="2">
        <v>0</v>
      </c>
      <c r="HB60" s="2">
        <v>0</v>
      </c>
      <c r="HC60" s="2">
        <f t="shared" si="127"/>
        <v>0</v>
      </c>
      <c r="HD60" s="2"/>
      <c r="HE60" s="2" t="s">
        <v>3</v>
      </c>
      <c r="HF60" s="2" t="s">
        <v>3</v>
      </c>
      <c r="HG60" s="2"/>
      <c r="HH60" s="2"/>
      <c r="HI60" s="2">
        <f t="shared" si="54"/>
        <v>0</v>
      </c>
      <c r="HJ60" s="2">
        <f t="shared" si="55"/>
        <v>0</v>
      </c>
      <c r="HK60" s="2">
        <f t="shared" si="128"/>
        <v>0</v>
      </c>
      <c r="HL60" s="2">
        <f t="shared" si="129"/>
        <v>0</v>
      </c>
      <c r="HM60" s="2" t="s">
        <v>3</v>
      </c>
      <c r="HN60" s="2" t="s">
        <v>26</v>
      </c>
      <c r="HO60" s="2" t="s">
        <v>27</v>
      </c>
      <c r="HP60" s="2" t="s">
        <v>24</v>
      </c>
      <c r="HQ60" s="2" t="s">
        <v>24</v>
      </c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>
        <v>0</v>
      </c>
      <c r="IL60" s="2"/>
      <c r="IM60" s="2"/>
      <c r="IN60" s="2"/>
      <c r="IO60" s="2"/>
      <c r="IP60" s="2"/>
      <c r="IQ60" s="2"/>
      <c r="IR60" s="2"/>
      <c r="IS60" s="2"/>
      <c r="IT60" s="2"/>
      <c r="IU60" s="2"/>
    </row>
    <row r="61" spans="1:255">
      <c r="A61">
        <v>17</v>
      </c>
      <c r="B61">
        <v>1</v>
      </c>
      <c r="C61">
        <f>ROW(SmtRes!A58)</f>
        <v>58</v>
      </c>
      <c r="D61">
        <f>ROW(EtalonRes!A58)</f>
        <v>58</v>
      </c>
      <c r="E61" t="s">
        <v>95</v>
      </c>
      <c r="F61" t="s">
        <v>96</v>
      </c>
      <c r="G61" t="s">
        <v>97</v>
      </c>
      <c r="H61" t="s">
        <v>21</v>
      </c>
      <c r="I61">
        <v>0</v>
      </c>
      <c r="J61">
        <v>0</v>
      </c>
      <c r="K61">
        <v>0</v>
      </c>
      <c r="O61">
        <f t="shared" si="98"/>
        <v>0</v>
      </c>
      <c r="P61">
        <f t="shared" si="99"/>
        <v>0</v>
      </c>
      <c r="Q61">
        <f t="shared" si="100"/>
        <v>0</v>
      </c>
      <c r="R61">
        <f t="shared" si="101"/>
        <v>0</v>
      </c>
      <c r="S61">
        <f t="shared" si="102"/>
        <v>0</v>
      </c>
      <c r="T61">
        <f t="shared" si="103"/>
        <v>0</v>
      </c>
      <c r="U61">
        <f t="shared" si="104"/>
        <v>0</v>
      </c>
      <c r="V61">
        <f t="shared" si="105"/>
        <v>0</v>
      </c>
      <c r="W61">
        <f t="shared" si="106"/>
        <v>0</v>
      </c>
      <c r="X61">
        <f t="shared" si="107"/>
        <v>0</v>
      </c>
      <c r="Y61">
        <f t="shared" si="107"/>
        <v>0</v>
      </c>
      <c r="AA61">
        <v>73147422</v>
      </c>
      <c r="AB61">
        <f t="shared" si="108"/>
        <v>142.03</v>
      </c>
      <c r="AC61">
        <f t="shared" si="109"/>
        <v>0</v>
      </c>
      <c r="AD61">
        <f t="shared" si="110"/>
        <v>129.97</v>
      </c>
      <c r="AE61">
        <f t="shared" si="111"/>
        <v>7.54</v>
      </c>
      <c r="AF61">
        <f t="shared" si="111"/>
        <v>12.06</v>
      </c>
      <c r="AG61">
        <f t="shared" si="112"/>
        <v>0</v>
      </c>
      <c r="AH61">
        <f t="shared" si="113"/>
        <v>1.33</v>
      </c>
      <c r="AI61">
        <f t="shared" si="113"/>
        <v>0.65</v>
      </c>
      <c r="AJ61">
        <f t="shared" si="114"/>
        <v>0</v>
      </c>
      <c r="AK61">
        <v>142.03</v>
      </c>
      <c r="AL61">
        <v>0</v>
      </c>
      <c r="AM61">
        <v>129.97</v>
      </c>
      <c r="AN61">
        <v>7.54</v>
      </c>
      <c r="AO61">
        <v>12.06</v>
      </c>
      <c r="AP61">
        <v>0</v>
      </c>
      <c r="AQ61">
        <v>1.33</v>
      </c>
      <c r="AR61">
        <v>0.65</v>
      </c>
      <c r="AS61">
        <v>0</v>
      </c>
      <c r="AT61">
        <v>102</v>
      </c>
      <c r="AU61">
        <v>54</v>
      </c>
      <c r="AV61">
        <v>1</v>
      </c>
      <c r="AW61">
        <v>1</v>
      </c>
      <c r="AZ61">
        <v>1</v>
      </c>
      <c r="BA61">
        <v>24.24</v>
      </c>
      <c r="BB61">
        <v>1</v>
      </c>
      <c r="BC61">
        <v>1</v>
      </c>
      <c r="BD61" t="s">
        <v>3</v>
      </c>
      <c r="BE61" t="s">
        <v>3</v>
      </c>
      <c r="BF61" t="s">
        <v>3</v>
      </c>
      <c r="BG61" t="s">
        <v>3</v>
      </c>
      <c r="BH61">
        <v>0</v>
      </c>
      <c r="BI61">
        <v>1</v>
      </c>
      <c r="BJ61" t="s">
        <v>98</v>
      </c>
      <c r="BM61">
        <v>68001</v>
      </c>
      <c r="BN61">
        <v>0</v>
      </c>
      <c r="BO61" t="s">
        <v>3</v>
      </c>
      <c r="BP61">
        <v>0</v>
      </c>
      <c r="BQ61">
        <v>6</v>
      </c>
      <c r="BR61">
        <v>0</v>
      </c>
      <c r="BS61">
        <v>24.24</v>
      </c>
      <c r="BT61">
        <v>1</v>
      </c>
      <c r="BU61">
        <v>1</v>
      </c>
      <c r="BV61">
        <v>1</v>
      </c>
      <c r="BW61">
        <v>1</v>
      </c>
      <c r="BX61">
        <v>1</v>
      </c>
      <c r="BY61" t="s">
        <v>3</v>
      </c>
      <c r="BZ61">
        <v>102</v>
      </c>
      <c r="CA61">
        <v>54</v>
      </c>
      <c r="CB61" t="s">
        <v>3</v>
      </c>
      <c r="CE61">
        <v>0</v>
      </c>
      <c r="CF61">
        <v>0</v>
      </c>
      <c r="CG61">
        <v>0</v>
      </c>
      <c r="CM61">
        <v>0</v>
      </c>
      <c r="CN61" t="s">
        <v>3</v>
      </c>
      <c r="CO61">
        <v>0</v>
      </c>
      <c r="CP61">
        <f t="shared" si="115"/>
        <v>0</v>
      </c>
      <c r="CQ61">
        <f t="shared" si="116"/>
        <v>0</v>
      </c>
      <c r="CR61">
        <f t="shared" si="117"/>
        <v>129.97</v>
      </c>
      <c r="CS61">
        <f t="shared" si="118"/>
        <v>7.54</v>
      </c>
      <c r="CT61">
        <f t="shared" si="118"/>
        <v>12.06</v>
      </c>
      <c r="CU61">
        <f t="shared" si="118"/>
        <v>0</v>
      </c>
      <c r="CV61">
        <f t="shared" si="118"/>
        <v>1.33</v>
      </c>
      <c r="CW61">
        <f t="shared" si="118"/>
        <v>0.65</v>
      </c>
      <c r="CX61">
        <f t="shared" si="118"/>
        <v>0</v>
      </c>
      <c r="CY61">
        <f t="shared" si="119"/>
        <v>0</v>
      </c>
      <c r="CZ61">
        <f t="shared" si="120"/>
        <v>0</v>
      </c>
      <c r="DC61" t="s">
        <v>3</v>
      </c>
      <c r="DD61" t="s">
        <v>3</v>
      </c>
      <c r="DE61" t="s">
        <v>3</v>
      </c>
      <c r="DF61" t="s">
        <v>3</v>
      </c>
      <c r="DG61" t="s">
        <v>3</v>
      </c>
      <c r="DH61" t="s">
        <v>3</v>
      </c>
      <c r="DI61" t="s">
        <v>3</v>
      </c>
      <c r="DJ61" t="s">
        <v>3</v>
      </c>
      <c r="DK61" t="s">
        <v>3</v>
      </c>
      <c r="DL61" t="s">
        <v>3</v>
      </c>
      <c r="DM61" t="s">
        <v>3</v>
      </c>
      <c r="DN61">
        <v>0</v>
      </c>
      <c r="DO61">
        <v>0</v>
      </c>
      <c r="DP61">
        <v>1</v>
      </c>
      <c r="DQ61">
        <v>1</v>
      </c>
      <c r="DU61">
        <v>1007</v>
      </c>
      <c r="DV61" t="s">
        <v>21</v>
      </c>
      <c r="DW61" t="s">
        <v>21</v>
      </c>
      <c r="DX61">
        <v>1</v>
      </c>
      <c r="DZ61" t="s">
        <v>3</v>
      </c>
      <c r="EA61" t="s">
        <v>3</v>
      </c>
      <c r="EB61" t="s">
        <v>3</v>
      </c>
      <c r="EC61" t="s">
        <v>3</v>
      </c>
      <c r="EE61">
        <v>65361239</v>
      </c>
      <c r="EF61">
        <v>6</v>
      </c>
      <c r="EG61" t="s">
        <v>23</v>
      </c>
      <c r="EH61">
        <v>102</v>
      </c>
      <c r="EI61" t="s">
        <v>24</v>
      </c>
      <c r="EJ61">
        <v>1</v>
      </c>
      <c r="EK61">
        <v>68001</v>
      </c>
      <c r="EL61" t="s">
        <v>24</v>
      </c>
      <c r="EM61" t="s">
        <v>25</v>
      </c>
      <c r="EO61" t="s">
        <v>3</v>
      </c>
      <c r="EQ61">
        <v>0</v>
      </c>
      <c r="ER61">
        <v>142.03</v>
      </c>
      <c r="ES61">
        <v>0</v>
      </c>
      <c r="ET61">
        <v>129.97</v>
      </c>
      <c r="EU61">
        <v>7.54</v>
      </c>
      <c r="EV61">
        <v>12.06</v>
      </c>
      <c r="EW61">
        <v>1.33</v>
      </c>
      <c r="EX61">
        <v>0.65</v>
      </c>
      <c r="EY61">
        <v>0</v>
      </c>
      <c r="FQ61">
        <v>0</v>
      </c>
      <c r="FR61">
        <f t="shared" si="45"/>
        <v>0</v>
      </c>
      <c r="FS61">
        <v>0</v>
      </c>
      <c r="FX61">
        <v>102</v>
      </c>
      <c r="FY61">
        <v>54</v>
      </c>
      <c r="GA61" t="s">
        <v>3</v>
      </c>
      <c r="GD61">
        <v>1</v>
      </c>
      <c r="GF61">
        <v>-720376341</v>
      </c>
      <c r="GG61">
        <v>2</v>
      </c>
      <c r="GH61">
        <v>1</v>
      </c>
      <c r="GI61">
        <v>4</v>
      </c>
      <c r="GJ61">
        <v>0</v>
      </c>
      <c r="GK61">
        <v>0</v>
      </c>
      <c r="GL61">
        <f t="shared" si="46"/>
        <v>0</v>
      </c>
      <c r="GM61">
        <f t="shared" si="121"/>
        <v>0</v>
      </c>
      <c r="GN61">
        <f t="shared" si="122"/>
        <v>0</v>
      </c>
      <c r="GO61">
        <f t="shared" si="123"/>
        <v>0</v>
      </c>
      <c r="GP61">
        <f t="shared" si="124"/>
        <v>0</v>
      </c>
      <c r="GR61">
        <v>0</v>
      </c>
      <c r="GS61">
        <v>3</v>
      </c>
      <c r="GT61">
        <v>0</v>
      </c>
      <c r="GU61" t="s">
        <v>3</v>
      </c>
      <c r="GV61">
        <f t="shared" si="125"/>
        <v>0</v>
      </c>
      <c r="GW61">
        <v>1</v>
      </c>
      <c r="GX61">
        <f t="shared" si="126"/>
        <v>0</v>
      </c>
      <c r="HA61">
        <v>0</v>
      </c>
      <c r="HB61">
        <v>0</v>
      </c>
      <c r="HC61">
        <f t="shared" si="127"/>
        <v>0</v>
      </c>
      <c r="HE61" t="s">
        <v>3</v>
      </c>
      <c r="HF61" t="s">
        <v>3</v>
      </c>
      <c r="HI61">
        <f t="shared" si="54"/>
        <v>0</v>
      </c>
      <c r="HJ61">
        <f t="shared" si="55"/>
        <v>0</v>
      </c>
      <c r="HK61">
        <f t="shared" si="128"/>
        <v>0</v>
      </c>
      <c r="HL61">
        <f t="shared" si="129"/>
        <v>0</v>
      </c>
      <c r="HM61" t="s">
        <v>3</v>
      </c>
      <c r="HN61" t="s">
        <v>26</v>
      </c>
      <c r="HO61" t="s">
        <v>27</v>
      </c>
      <c r="HP61" t="s">
        <v>24</v>
      </c>
      <c r="HQ61" t="s">
        <v>24</v>
      </c>
      <c r="IK61">
        <v>0</v>
      </c>
    </row>
    <row r="62" spans="1:255">
      <c r="A62" s="2">
        <v>17</v>
      </c>
      <c r="B62" s="2">
        <v>1</v>
      </c>
      <c r="C62" s="2">
        <f>ROW(SmtRes!A61)</f>
        <v>61</v>
      </c>
      <c r="D62" s="2">
        <f>ROW(EtalonRes!A62)</f>
        <v>62</v>
      </c>
      <c r="E62" s="2" t="s">
        <v>99</v>
      </c>
      <c r="F62" s="2" t="s">
        <v>100</v>
      </c>
      <c r="G62" s="2" t="s">
        <v>101</v>
      </c>
      <c r="H62" s="2" t="s">
        <v>73</v>
      </c>
      <c r="I62" s="2">
        <v>0</v>
      </c>
      <c r="J62" s="2">
        <v>0</v>
      </c>
      <c r="K62" s="2">
        <v>0</v>
      </c>
      <c r="L62" s="2"/>
      <c r="M62" s="2"/>
      <c r="N62" s="2"/>
      <c r="O62" s="2">
        <f t="shared" si="98"/>
        <v>0</v>
      </c>
      <c r="P62" s="2">
        <f t="shared" si="99"/>
        <v>0</v>
      </c>
      <c r="Q62" s="2">
        <f t="shared" si="100"/>
        <v>0</v>
      </c>
      <c r="R62" s="2">
        <f t="shared" si="101"/>
        <v>0</v>
      </c>
      <c r="S62" s="2">
        <f t="shared" si="102"/>
        <v>0</v>
      </c>
      <c r="T62" s="2">
        <f t="shared" si="103"/>
        <v>0</v>
      </c>
      <c r="U62" s="2">
        <f t="shared" si="104"/>
        <v>0</v>
      </c>
      <c r="V62" s="2">
        <f t="shared" si="105"/>
        <v>0</v>
      </c>
      <c r="W62" s="2">
        <f t="shared" si="106"/>
        <v>0</v>
      </c>
      <c r="X62" s="2">
        <f t="shared" si="107"/>
        <v>0</v>
      </c>
      <c r="Y62" s="2">
        <f t="shared" si="107"/>
        <v>0</v>
      </c>
      <c r="Z62" s="2"/>
      <c r="AA62" s="2">
        <v>73147424</v>
      </c>
      <c r="AB62" s="2">
        <f t="shared" si="108"/>
        <v>30.61</v>
      </c>
      <c r="AC62" s="2">
        <f t="shared" si="109"/>
        <v>0</v>
      </c>
      <c r="AD62" s="2">
        <f t="shared" si="110"/>
        <v>1.97</v>
      </c>
      <c r="AE62" s="2">
        <f t="shared" si="111"/>
        <v>0.35</v>
      </c>
      <c r="AF62" s="2">
        <f t="shared" si="111"/>
        <v>28.64</v>
      </c>
      <c r="AG62" s="2">
        <f t="shared" si="112"/>
        <v>0</v>
      </c>
      <c r="AH62" s="2">
        <f t="shared" si="113"/>
        <v>3.7</v>
      </c>
      <c r="AI62" s="2">
        <f t="shared" si="113"/>
        <v>0.03</v>
      </c>
      <c r="AJ62" s="2">
        <f t="shared" si="114"/>
        <v>0</v>
      </c>
      <c r="AK62" s="2">
        <v>30.61</v>
      </c>
      <c r="AL62" s="2">
        <v>0</v>
      </c>
      <c r="AM62" s="2">
        <v>1.97</v>
      </c>
      <c r="AN62" s="2">
        <v>0.35</v>
      </c>
      <c r="AO62" s="2">
        <v>28.64</v>
      </c>
      <c r="AP62" s="2">
        <v>0</v>
      </c>
      <c r="AQ62" s="2">
        <v>3.7</v>
      </c>
      <c r="AR62" s="2">
        <v>0.03</v>
      </c>
      <c r="AS62" s="2">
        <v>0</v>
      </c>
      <c r="AT62" s="2">
        <v>102</v>
      </c>
      <c r="AU62" s="2">
        <v>54</v>
      </c>
      <c r="AV62" s="2">
        <v>1</v>
      </c>
      <c r="AW62" s="2">
        <v>1</v>
      </c>
      <c r="AX62" s="2"/>
      <c r="AY62" s="2"/>
      <c r="AZ62" s="2">
        <v>1</v>
      </c>
      <c r="BA62" s="2">
        <v>1</v>
      </c>
      <c r="BB62" s="2">
        <v>1</v>
      </c>
      <c r="BC62" s="2">
        <v>1</v>
      </c>
      <c r="BD62" s="2" t="s">
        <v>3</v>
      </c>
      <c r="BE62" s="2" t="s">
        <v>3</v>
      </c>
      <c r="BF62" s="2" t="s">
        <v>3</v>
      </c>
      <c r="BG62" s="2" t="s">
        <v>3</v>
      </c>
      <c r="BH62" s="2">
        <v>0</v>
      </c>
      <c r="BI62" s="2">
        <v>1</v>
      </c>
      <c r="BJ62" s="2" t="s">
        <v>102</v>
      </c>
      <c r="BK62" s="2"/>
      <c r="BL62" s="2"/>
      <c r="BM62" s="2">
        <v>68001</v>
      </c>
      <c r="BN62" s="2">
        <v>0</v>
      </c>
      <c r="BO62" s="2" t="s">
        <v>3</v>
      </c>
      <c r="BP62" s="2">
        <v>0</v>
      </c>
      <c r="BQ62" s="2">
        <v>6</v>
      </c>
      <c r="BR62" s="2">
        <v>0</v>
      </c>
      <c r="BS62" s="2">
        <v>1</v>
      </c>
      <c r="BT62" s="2">
        <v>1</v>
      </c>
      <c r="BU62" s="2">
        <v>1</v>
      </c>
      <c r="BV62" s="2">
        <v>1</v>
      </c>
      <c r="BW62" s="2">
        <v>1</v>
      </c>
      <c r="BX62" s="2">
        <v>1</v>
      </c>
      <c r="BY62" s="2" t="s">
        <v>3</v>
      </c>
      <c r="BZ62" s="2">
        <v>102</v>
      </c>
      <c r="CA62" s="2">
        <v>54</v>
      </c>
      <c r="CB62" s="2" t="s">
        <v>3</v>
      </c>
      <c r="CC62" s="2"/>
      <c r="CD62" s="2"/>
      <c r="CE62" s="2">
        <v>0</v>
      </c>
      <c r="CF62" s="2">
        <v>0</v>
      </c>
      <c r="CG62" s="2">
        <v>0</v>
      </c>
      <c r="CH62" s="2"/>
      <c r="CI62" s="2"/>
      <c r="CJ62" s="2"/>
      <c r="CK62" s="2"/>
      <c r="CL62" s="2"/>
      <c r="CM62" s="2">
        <v>0</v>
      </c>
      <c r="CN62" s="2" t="s">
        <v>3</v>
      </c>
      <c r="CO62" s="2">
        <v>0</v>
      </c>
      <c r="CP62" s="2">
        <f t="shared" si="115"/>
        <v>0</v>
      </c>
      <c r="CQ62" s="2">
        <f t="shared" si="116"/>
        <v>0</v>
      </c>
      <c r="CR62" s="2">
        <f t="shared" si="117"/>
        <v>1.97</v>
      </c>
      <c r="CS62" s="2">
        <f t="shared" si="118"/>
        <v>0.35</v>
      </c>
      <c r="CT62" s="2">
        <f t="shared" si="118"/>
        <v>28.64</v>
      </c>
      <c r="CU62" s="2">
        <f t="shared" si="118"/>
        <v>0</v>
      </c>
      <c r="CV62" s="2">
        <f t="shared" si="118"/>
        <v>3.7</v>
      </c>
      <c r="CW62" s="2">
        <f t="shared" si="118"/>
        <v>0.03</v>
      </c>
      <c r="CX62" s="2">
        <f t="shared" si="118"/>
        <v>0</v>
      </c>
      <c r="CY62" s="2">
        <f t="shared" si="119"/>
        <v>0</v>
      </c>
      <c r="CZ62" s="2">
        <f t="shared" si="120"/>
        <v>0</v>
      </c>
      <c r="DA62" s="2"/>
      <c r="DB62" s="2"/>
      <c r="DC62" s="2" t="s">
        <v>3</v>
      </c>
      <c r="DD62" s="2" t="s">
        <v>3</v>
      </c>
      <c r="DE62" s="2" t="s">
        <v>3</v>
      </c>
      <c r="DF62" s="2" t="s">
        <v>3</v>
      </c>
      <c r="DG62" s="2" t="s">
        <v>3</v>
      </c>
      <c r="DH62" s="2" t="s">
        <v>3</v>
      </c>
      <c r="DI62" s="2" t="s">
        <v>3</v>
      </c>
      <c r="DJ62" s="2" t="s">
        <v>3</v>
      </c>
      <c r="DK62" s="2" t="s">
        <v>3</v>
      </c>
      <c r="DL62" s="2" t="s">
        <v>3</v>
      </c>
      <c r="DM62" s="2" t="s">
        <v>3</v>
      </c>
      <c r="DN62" s="2">
        <v>0</v>
      </c>
      <c r="DO62" s="2">
        <v>0</v>
      </c>
      <c r="DP62" s="2">
        <v>1</v>
      </c>
      <c r="DQ62" s="2">
        <v>1</v>
      </c>
      <c r="DR62" s="2"/>
      <c r="DS62" s="2"/>
      <c r="DT62" s="2"/>
      <c r="DU62" s="2">
        <v>1013</v>
      </c>
      <c r="DV62" s="2" t="s">
        <v>73</v>
      </c>
      <c r="DW62" s="2" t="s">
        <v>73</v>
      </c>
      <c r="DX62" s="2">
        <v>1</v>
      </c>
      <c r="DY62" s="2"/>
      <c r="DZ62" s="2" t="s">
        <v>3</v>
      </c>
      <c r="EA62" s="2" t="s">
        <v>3</v>
      </c>
      <c r="EB62" s="2" t="s">
        <v>3</v>
      </c>
      <c r="EC62" s="2" t="s">
        <v>3</v>
      </c>
      <c r="ED62" s="2"/>
      <c r="EE62" s="2">
        <v>65361239</v>
      </c>
      <c r="EF62" s="2">
        <v>6</v>
      </c>
      <c r="EG62" s="2" t="s">
        <v>23</v>
      </c>
      <c r="EH62" s="2">
        <v>102</v>
      </c>
      <c r="EI62" s="2" t="s">
        <v>24</v>
      </c>
      <c r="EJ62" s="2">
        <v>1</v>
      </c>
      <c r="EK62" s="2">
        <v>68001</v>
      </c>
      <c r="EL62" s="2" t="s">
        <v>24</v>
      </c>
      <c r="EM62" s="2" t="s">
        <v>25</v>
      </c>
      <c r="EN62" s="2"/>
      <c r="EO62" s="2" t="s">
        <v>3</v>
      </c>
      <c r="EP62" s="2"/>
      <c r="EQ62" s="2">
        <v>0</v>
      </c>
      <c r="ER62" s="2">
        <v>30.61</v>
      </c>
      <c r="ES62" s="2">
        <v>0</v>
      </c>
      <c r="ET62" s="2">
        <v>1.97</v>
      </c>
      <c r="EU62" s="2">
        <v>0.35</v>
      </c>
      <c r="EV62" s="2">
        <v>28.64</v>
      </c>
      <c r="EW62" s="2">
        <v>3.7</v>
      </c>
      <c r="EX62" s="2">
        <v>0.03</v>
      </c>
      <c r="EY62" s="2">
        <v>0</v>
      </c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>
        <v>0</v>
      </c>
      <c r="FR62" s="2">
        <f t="shared" si="45"/>
        <v>0</v>
      </c>
      <c r="FS62" s="2">
        <v>0</v>
      </c>
      <c r="FT62" s="2"/>
      <c r="FU62" s="2"/>
      <c r="FV62" s="2"/>
      <c r="FW62" s="2"/>
      <c r="FX62" s="2">
        <v>102</v>
      </c>
      <c r="FY62" s="2">
        <v>54</v>
      </c>
      <c r="FZ62" s="2"/>
      <c r="GA62" s="2" t="s">
        <v>3</v>
      </c>
      <c r="GB62" s="2"/>
      <c r="GC62" s="2"/>
      <c r="GD62" s="2">
        <v>1</v>
      </c>
      <c r="GE62" s="2"/>
      <c r="GF62" s="2">
        <v>-1371236948</v>
      </c>
      <c r="GG62" s="2">
        <v>2</v>
      </c>
      <c r="GH62" s="2">
        <v>1</v>
      </c>
      <c r="GI62" s="2">
        <v>-2</v>
      </c>
      <c r="GJ62" s="2">
        <v>0</v>
      </c>
      <c r="GK62" s="2">
        <v>0</v>
      </c>
      <c r="GL62" s="2">
        <f t="shared" si="46"/>
        <v>0</v>
      </c>
      <c r="GM62" s="2">
        <f t="shared" si="121"/>
        <v>0</v>
      </c>
      <c r="GN62" s="2">
        <f t="shared" si="122"/>
        <v>0</v>
      </c>
      <c r="GO62" s="2">
        <f t="shared" si="123"/>
        <v>0</v>
      </c>
      <c r="GP62" s="2">
        <f t="shared" si="124"/>
        <v>0</v>
      </c>
      <c r="GQ62" s="2"/>
      <c r="GR62" s="2">
        <v>0</v>
      </c>
      <c r="GS62" s="2">
        <v>3</v>
      </c>
      <c r="GT62" s="2">
        <v>0</v>
      </c>
      <c r="GU62" s="2" t="s">
        <v>3</v>
      </c>
      <c r="GV62" s="2">
        <f t="shared" si="125"/>
        <v>0</v>
      </c>
      <c r="GW62" s="2">
        <v>1</v>
      </c>
      <c r="GX62" s="2">
        <f t="shared" si="126"/>
        <v>0</v>
      </c>
      <c r="GY62" s="2"/>
      <c r="GZ62" s="2"/>
      <c r="HA62" s="2">
        <v>0</v>
      </c>
      <c r="HB62" s="2">
        <v>0</v>
      </c>
      <c r="HC62" s="2">
        <f t="shared" si="127"/>
        <v>0</v>
      </c>
      <c r="HD62" s="2"/>
      <c r="HE62" s="2" t="s">
        <v>3</v>
      </c>
      <c r="HF62" s="2" t="s">
        <v>3</v>
      </c>
      <c r="HG62" s="2"/>
      <c r="HH62" s="2"/>
      <c r="HI62" s="2">
        <f t="shared" si="54"/>
        <v>0</v>
      </c>
      <c r="HJ62" s="2">
        <f t="shared" si="55"/>
        <v>0</v>
      </c>
      <c r="HK62" s="2">
        <f t="shared" si="128"/>
        <v>0</v>
      </c>
      <c r="HL62" s="2">
        <f t="shared" si="129"/>
        <v>0</v>
      </c>
      <c r="HM62" s="2" t="s">
        <v>3</v>
      </c>
      <c r="HN62" s="2" t="s">
        <v>26</v>
      </c>
      <c r="HO62" s="2" t="s">
        <v>27</v>
      </c>
      <c r="HP62" s="2" t="s">
        <v>24</v>
      </c>
      <c r="HQ62" s="2" t="s">
        <v>24</v>
      </c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>
        <v>0</v>
      </c>
      <c r="IL62" s="2"/>
      <c r="IM62" s="2"/>
      <c r="IN62" s="2"/>
      <c r="IO62" s="2"/>
      <c r="IP62" s="2"/>
      <c r="IQ62" s="2"/>
      <c r="IR62" s="2"/>
      <c r="IS62" s="2"/>
      <c r="IT62" s="2"/>
      <c r="IU62" s="2"/>
    </row>
    <row r="63" spans="1:255">
      <c r="A63">
        <v>17</v>
      </c>
      <c r="B63">
        <v>1</v>
      </c>
      <c r="C63">
        <f>ROW(SmtRes!A64)</f>
        <v>64</v>
      </c>
      <c r="D63">
        <f>ROW(EtalonRes!A66)</f>
        <v>66</v>
      </c>
      <c r="E63" t="s">
        <v>99</v>
      </c>
      <c r="F63" t="s">
        <v>100</v>
      </c>
      <c r="G63" t="s">
        <v>101</v>
      </c>
      <c r="H63" t="s">
        <v>73</v>
      </c>
      <c r="I63">
        <v>0</v>
      </c>
      <c r="J63">
        <v>0</v>
      </c>
      <c r="K63">
        <v>0</v>
      </c>
      <c r="O63">
        <f t="shared" si="98"/>
        <v>0</v>
      </c>
      <c r="P63">
        <f t="shared" si="99"/>
        <v>0</v>
      </c>
      <c r="Q63">
        <f t="shared" si="100"/>
        <v>0</v>
      </c>
      <c r="R63">
        <f t="shared" si="101"/>
        <v>0</v>
      </c>
      <c r="S63">
        <f t="shared" si="102"/>
        <v>0</v>
      </c>
      <c r="T63">
        <f t="shared" si="103"/>
        <v>0</v>
      </c>
      <c r="U63">
        <f t="shared" si="104"/>
        <v>0</v>
      </c>
      <c r="V63">
        <f t="shared" si="105"/>
        <v>0</v>
      </c>
      <c r="W63">
        <f t="shared" si="106"/>
        <v>0</v>
      </c>
      <c r="X63">
        <f t="shared" si="107"/>
        <v>0</v>
      </c>
      <c r="Y63">
        <f t="shared" si="107"/>
        <v>0</v>
      </c>
      <c r="AA63">
        <v>73147422</v>
      </c>
      <c r="AB63">
        <f t="shared" si="108"/>
        <v>30.61</v>
      </c>
      <c r="AC63">
        <f t="shared" si="109"/>
        <v>0</v>
      </c>
      <c r="AD63">
        <f t="shared" si="110"/>
        <v>1.97</v>
      </c>
      <c r="AE63">
        <f t="shared" si="111"/>
        <v>0.35</v>
      </c>
      <c r="AF63">
        <f t="shared" si="111"/>
        <v>28.64</v>
      </c>
      <c r="AG63">
        <f t="shared" si="112"/>
        <v>0</v>
      </c>
      <c r="AH63">
        <f t="shared" si="113"/>
        <v>3.7</v>
      </c>
      <c r="AI63">
        <f t="shared" si="113"/>
        <v>0.03</v>
      </c>
      <c r="AJ63">
        <f t="shared" si="114"/>
        <v>0</v>
      </c>
      <c r="AK63">
        <v>30.61</v>
      </c>
      <c r="AL63">
        <v>0</v>
      </c>
      <c r="AM63">
        <v>1.97</v>
      </c>
      <c r="AN63">
        <v>0.35</v>
      </c>
      <c r="AO63">
        <v>28.64</v>
      </c>
      <c r="AP63">
        <v>0</v>
      </c>
      <c r="AQ63">
        <v>3.7</v>
      </c>
      <c r="AR63">
        <v>0.03</v>
      </c>
      <c r="AS63">
        <v>0</v>
      </c>
      <c r="AT63">
        <v>102</v>
      </c>
      <c r="AU63">
        <v>54</v>
      </c>
      <c r="AV63">
        <v>1</v>
      </c>
      <c r="AW63">
        <v>1</v>
      </c>
      <c r="AZ63">
        <v>1</v>
      </c>
      <c r="BA63">
        <v>24.24</v>
      </c>
      <c r="BB63">
        <v>1</v>
      </c>
      <c r="BC63">
        <v>1</v>
      </c>
      <c r="BD63" t="s">
        <v>3</v>
      </c>
      <c r="BE63" t="s">
        <v>3</v>
      </c>
      <c r="BF63" t="s">
        <v>3</v>
      </c>
      <c r="BG63" t="s">
        <v>3</v>
      </c>
      <c r="BH63">
        <v>0</v>
      </c>
      <c r="BI63">
        <v>1</v>
      </c>
      <c r="BJ63" t="s">
        <v>102</v>
      </c>
      <c r="BM63">
        <v>68001</v>
      </c>
      <c r="BN63">
        <v>0</v>
      </c>
      <c r="BO63" t="s">
        <v>3</v>
      </c>
      <c r="BP63">
        <v>0</v>
      </c>
      <c r="BQ63">
        <v>6</v>
      </c>
      <c r="BR63">
        <v>0</v>
      </c>
      <c r="BS63">
        <v>24.24</v>
      </c>
      <c r="BT63">
        <v>1</v>
      </c>
      <c r="BU63">
        <v>1</v>
      </c>
      <c r="BV63">
        <v>1</v>
      </c>
      <c r="BW63">
        <v>1</v>
      </c>
      <c r="BX63">
        <v>1</v>
      </c>
      <c r="BY63" t="s">
        <v>3</v>
      </c>
      <c r="BZ63">
        <v>102</v>
      </c>
      <c r="CA63">
        <v>54</v>
      </c>
      <c r="CB63" t="s">
        <v>3</v>
      </c>
      <c r="CE63">
        <v>0</v>
      </c>
      <c r="CF63">
        <v>0</v>
      </c>
      <c r="CG63">
        <v>0</v>
      </c>
      <c r="CM63">
        <v>0</v>
      </c>
      <c r="CN63" t="s">
        <v>3</v>
      </c>
      <c r="CO63">
        <v>0</v>
      </c>
      <c r="CP63">
        <f t="shared" si="115"/>
        <v>0</v>
      </c>
      <c r="CQ63">
        <f t="shared" si="116"/>
        <v>0</v>
      </c>
      <c r="CR63">
        <f t="shared" si="117"/>
        <v>1.97</v>
      </c>
      <c r="CS63">
        <f t="shared" si="118"/>
        <v>0.35</v>
      </c>
      <c r="CT63">
        <f t="shared" si="118"/>
        <v>28.64</v>
      </c>
      <c r="CU63">
        <f t="shared" si="118"/>
        <v>0</v>
      </c>
      <c r="CV63">
        <f t="shared" si="118"/>
        <v>3.7</v>
      </c>
      <c r="CW63">
        <f t="shared" si="118"/>
        <v>0.03</v>
      </c>
      <c r="CX63">
        <f t="shared" si="118"/>
        <v>0</v>
      </c>
      <c r="CY63">
        <f t="shared" si="119"/>
        <v>0</v>
      </c>
      <c r="CZ63">
        <f t="shared" si="120"/>
        <v>0</v>
      </c>
      <c r="DC63" t="s">
        <v>3</v>
      </c>
      <c r="DD63" t="s">
        <v>3</v>
      </c>
      <c r="DE63" t="s">
        <v>3</v>
      </c>
      <c r="DF63" t="s">
        <v>3</v>
      </c>
      <c r="DG63" t="s">
        <v>3</v>
      </c>
      <c r="DH63" t="s">
        <v>3</v>
      </c>
      <c r="DI63" t="s">
        <v>3</v>
      </c>
      <c r="DJ63" t="s">
        <v>3</v>
      </c>
      <c r="DK63" t="s">
        <v>3</v>
      </c>
      <c r="DL63" t="s">
        <v>3</v>
      </c>
      <c r="DM63" t="s">
        <v>3</v>
      </c>
      <c r="DN63">
        <v>0</v>
      </c>
      <c r="DO63">
        <v>0</v>
      </c>
      <c r="DP63">
        <v>1</v>
      </c>
      <c r="DQ63">
        <v>1</v>
      </c>
      <c r="DU63">
        <v>1013</v>
      </c>
      <c r="DV63" t="s">
        <v>73</v>
      </c>
      <c r="DW63" t="s">
        <v>73</v>
      </c>
      <c r="DX63">
        <v>1</v>
      </c>
      <c r="DZ63" t="s">
        <v>3</v>
      </c>
      <c r="EA63" t="s">
        <v>3</v>
      </c>
      <c r="EB63" t="s">
        <v>3</v>
      </c>
      <c r="EC63" t="s">
        <v>3</v>
      </c>
      <c r="EE63">
        <v>65361239</v>
      </c>
      <c r="EF63">
        <v>6</v>
      </c>
      <c r="EG63" t="s">
        <v>23</v>
      </c>
      <c r="EH63">
        <v>102</v>
      </c>
      <c r="EI63" t="s">
        <v>24</v>
      </c>
      <c r="EJ63">
        <v>1</v>
      </c>
      <c r="EK63">
        <v>68001</v>
      </c>
      <c r="EL63" t="s">
        <v>24</v>
      </c>
      <c r="EM63" t="s">
        <v>25</v>
      </c>
      <c r="EO63" t="s">
        <v>3</v>
      </c>
      <c r="EQ63">
        <v>0</v>
      </c>
      <c r="ER63">
        <v>30.61</v>
      </c>
      <c r="ES63">
        <v>0</v>
      </c>
      <c r="ET63">
        <v>1.97</v>
      </c>
      <c r="EU63">
        <v>0.35</v>
      </c>
      <c r="EV63">
        <v>28.64</v>
      </c>
      <c r="EW63">
        <v>3.7</v>
      </c>
      <c r="EX63">
        <v>0.03</v>
      </c>
      <c r="EY63">
        <v>0</v>
      </c>
      <c r="FQ63">
        <v>0</v>
      </c>
      <c r="FR63">
        <f t="shared" si="45"/>
        <v>0</v>
      </c>
      <c r="FS63">
        <v>0</v>
      </c>
      <c r="FX63">
        <v>102</v>
      </c>
      <c r="FY63">
        <v>54</v>
      </c>
      <c r="GA63" t="s">
        <v>3</v>
      </c>
      <c r="GD63">
        <v>1</v>
      </c>
      <c r="GF63">
        <v>-1371236948</v>
      </c>
      <c r="GG63">
        <v>2</v>
      </c>
      <c r="GH63">
        <v>1</v>
      </c>
      <c r="GI63">
        <v>4</v>
      </c>
      <c r="GJ63">
        <v>0</v>
      </c>
      <c r="GK63">
        <v>0</v>
      </c>
      <c r="GL63">
        <f t="shared" si="46"/>
        <v>0</v>
      </c>
      <c r="GM63">
        <f t="shared" si="121"/>
        <v>0</v>
      </c>
      <c r="GN63">
        <f t="shared" si="122"/>
        <v>0</v>
      </c>
      <c r="GO63">
        <f t="shared" si="123"/>
        <v>0</v>
      </c>
      <c r="GP63">
        <f t="shared" si="124"/>
        <v>0</v>
      </c>
      <c r="GR63">
        <v>0</v>
      </c>
      <c r="GS63">
        <v>3</v>
      </c>
      <c r="GT63">
        <v>0</v>
      </c>
      <c r="GU63" t="s">
        <v>3</v>
      </c>
      <c r="GV63">
        <f t="shared" si="125"/>
        <v>0</v>
      </c>
      <c r="GW63">
        <v>1</v>
      </c>
      <c r="GX63">
        <f t="shared" si="126"/>
        <v>0</v>
      </c>
      <c r="HA63">
        <v>0</v>
      </c>
      <c r="HB63">
        <v>0</v>
      </c>
      <c r="HC63">
        <f t="shared" si="127"/>
        <v>0</v>
      </c>
      <c r="HE63" t="s">
        <v>3</v>
      </c>
      <c r="HF63" t="s">
        <v>3</v>
      </c>
      <c r="HI63">
        <f t="shared" si="54"/>
        <v>0</v>
      </c>
      <c r="HJ63">
        <f t="shared" si="55"/>
        <v>0</v>
      </c>
      <c r="HK63">
        <f t="shared" si="128"/>
        <v>0</v>
      </c>
      <c r="HL63">
        <f t="shared" si="129"/>
        <v>0</v>
      </c>
      <c r="HM63" t="s">
        <v>3</v>
      </c>
      <c r="HN63" t="s">
        <v>26</v>
      </c>
      <c r="HO63" t="s">
        <v>27</v>
      </c>
      <c r="HP63" t="s">
        <v>24</v>
      </c>
      <c r="HQ63" t="s">
        <v>24</v>
      </c>
      <c r="IK63">
        <v>0</v>
      </c>
    </row>
    <row r="64" spans="1:255">
      <c r="A64" s="2">
        <v>17</v>
      </c>
      <c r="B64" s="2">
        <v>1</v>
      </c>
      <c r="C64" s="2">
        <f>ROW(SmtRes!A65)</f>
        <v>65</v>
      </c>
      <c r="D64" s="2">
        <f>ROW(EtalonRes!A67)</f>
        <v>67</v>
      </c>
      <c r="E64" s="2" t="s">
        <v>103</v>
      </c>
      <c r="F64" s="2" t="s">
        <v>104</v>
      </c>
      <c r="G64" s="2" t="s">
        <v>105</v>
      </c>
      <c r="H64" s="2" t="s">
        <v>73</v>
      </c>
      <c r="I64" s="2">
        <v>0</v>
      </c>
      <c r="J64" s="2">
        <v>0</v>
      </c>
      <c r="K64" s="2">
        <v>0</v>
      </c>
      <c r="L64" s="2"/>
      <c r="M64" s="2"/>
      <c r="N64" s="2"/>
      <c r="O64" s="2">
        <f t="shared" si="98"/>
        <v>0</v>
      </c>
      <c r="P64" s="2">
        <f t="shared" si="99"/>
        <v>0</v>
      </c>
      <c r="Q64" s="2">
        <f t="shared" si="100"/>
        <v>0</v>
      </c>
      <c r="R64" s="2">
        <f t="shared" si="101"/>
        <v>0</v>
      </c>
      <c r="S64" s="2">
        <f t="shared" si="102"/>
        <v>0</v>
      </c>
      <c r="T64" s="2">
        <f t="shared" si="103"/>
        <v>0</v>
      </c>
      <c r="U64" s="2">
        <f t="shared" si="104"/>
        <v>0</v>
      </c>
      <c r="V64" s="2">
        <f t="shared" si="105"/>
        <v>0</v>
      </c>
      <c r="W64" s="2">
        <f t="shared" si="106"/>
        <v>0</v>
      </c>
      <c r="X64" s="2">
        <f t="shared" si="107"/>
        <v>0</v>
      </c>
      <c r="Y64" s="2">
        <f t="shared" si="107"/>
        <v>0</v>
      </c>
      <c r="Z64" s="2"/>
      <c r="AA64" s="2">
        <v>73147424</v>
      </c>
      <c r="AB64" s="2">
        <f t="shared" si="108"/>
        <v>4.4800000000000004</v>
      </c>
      <c r="AC64" s="2">
        <f t="shared" si="109"/>
        <v>0</v>
      </c>
      <c r="AD64" s="2">
        <f t="shared" si="110"/>
        <v>0</v>
      </c>
      <c r="AE64" s="2">
        <f t="shared" si="111"/>
        <v>0</v>
      </c>
      <c r="AF64" s="2">
        <f t="shared" si="111"/>
        <v>4.4800000000000004</v>
      </c>
      <c r="AG64" s="2">
        <f t="shared" si="112"/>
        <v>0</v>
      </c>
      <c r="AH64" s="2">
        <f t="shared" si="113"/>
        <v>0.53</v>
      </c>
      <c r="AI64" s="2">
        <f t="shared" si="113"/>
        <v>0</v>
      </c>
      <c r="AJ64" s="2">
        <f t="shared" si="114"/>
        <v>0</v>
      </c>
      <c r="AK64" s="2">
        <v>4.4800000000000004</v>
      </c>
      <c r="AL64" s="2">
        <v>0</v>
      </c>
      <c r="AM64" s="2">
        <v>0</v>
      </c>
      <c r="AN64" s="2">
        <v>0</v>
      </c>
      <c r="AO64" s="2">
        <v>4.4800000000000004</v>
      </c>
      <c r="AP64" s="2">
        <v>0</v>
      </c>
      <c r="AQ64" s="2">
        <v>0.53</v>
      </c>
      <c r="AR64" s="2">
        <v>0</v>
      </c>
      <c r="AS64" s="2">
        <v>0</v>
      </c>
      <c r="AT64" s="2">
        <v>102</v>
      </c>
      <c r="AU64" s="2">
        <v>54</v>
      </c>
      <c r="AV64" s="2">
        <v>1</v>
      </c>
      <c r="AW64" s="2">
        <v>1</v>
      </c>
      <c r="AX64" s="2"/>
      <c r="AY64" s="2"/>
      <c r="AZ64" s="2">
        <v>1</v>
      </c>
      <c r="BA64" s="2">
        <v>1</v>
      </c>
      <c r="BB64" s="2">
        <v>1</v>
      </c>
      <c r="BC64" s="2">
        <v>1</v>
      </c>
      <c r="BD64" s="2" t="s">
        <v>3</v>
      </c>
      <c r="BE64" s="2" t="s">
        <v>3</v>
      </c>
      <c r="BF64" s="2" t="s">
        <v>3</v>
      </c>
      <c r="BG64" s="2" t="s">
        <v>3</v>
      </c>
      <c r="BH64" s="2">
        <v>0</v>
      </c>
      <c r="BI64" s="2">
        <v>1</v>
      </c>
      <c r="BJ64" s="2" t="s">
        <v>106</v>
      </c>
      <c r="BK64" s="2"/>
      <c r="BL64" s="2"/>
      <c r="BM64" s="2">
        <v>68001</v>
      </c>
      <c r="BN64" s="2">
        <v>0</v>
      </c>
      <c r="BO64" s="2" t="s">
        <v>3</v>
      </c>
      <c r="BP64" s="2">
        <v>0</v>
      </c>
      <c r="BQ64" s="2">
        <v>6</v>
      </c>
      <c r="BR64" s="2">
        <v>0</v>
      </c>
      <c r="BS64" s="2">
        <v>1</v>
      </c>
      <c r="BT64" s="2">
        <v>1</v>
      </c>
      <c r="BU64" s="2">
        <v>1</v>
      </c>
      <c r="BV64" s="2">
        <v>1</v>
      </c>
      <c r="BW64" s="2">
        <v>1</v>
      </c>
      <c r="BX64" s="2">
        <v>1</v>
      </c>
      <c r="BY64" s="2" t="s">
        <v>3</v>
      </c>
      <c r="BZ64" s="2">
        <v>102</v>
      </c>
      <c r="CA64" s="2">
        <v>54</v>
      </c>
      <c r="CB64" s="2" t="s">
        <v>3</v>
      </c>
      <c r="CC64" s="2"/>
      <c r="CD64" s="2"/>
      <c r="CE64" s="2">
        <v>0</v>
      </c>
      <c r="CF64" s="2">
        <v>0</v>
      </c>
      <c r="CG64" s="2">
        <v>0</v>
      </c>
      <c r="CH64" s="2"/>
      <c r="CI64" s="2"/>
      <c r="CJ64" s="2"/>
      <c r="CK64" s="2"/>
      <c r="CL64" s="2"/>
      <c r="CM64" s="2">
        <v>0</v>
      </c>
      <c r="CN64" s="2" t="s">
        <v>3</v>
      </c>
      <c r="CO64" s="2">
        <v>0</v>
      </c>
      <c r="CP64" s="2">
        <f t="shared" si="115"/>
        <v>0</v>
      </c>
      <c r="CQ64" s="2">
        <f t="shared" si="116"/>
        <v>0</v>
      </c>
      <c r="CR64" s="2">
        <f t="shared" si="117"/>
        <v>0</v>
      </c>
      <c r="CS64" s="2">
        <f t="shared" si="118"/>
        <v>0</v>
      </c>
      <c r="CT64" s="2">
        <f t="shared" si="118"/>
        <v>4.4800000000000004</v>
      </c>
      <c r="CU64" s="2">
        <f t="shared" si="118"/>
        <v>0</v>
      </c>
      <c r="CV64" s="2">
        <f t="shared" si="118"/>
        <v>0.53</v>
      </c>
      <c r="CW64" s="2">
        <f t="shared" si="118"/>
        <v>0</v>
      </c>
      <c r="CX64" s="2">
        <f t="shared" si="118"/>
        <v>0</v>
      </c>
      <c r="CY64" s="2">
        <f t="shared" si="119"/>
        <v>0</v>
      </c>
      <c r="CZ64" s="2">
        <f t="shared" si="120"/>
        <v>0</v>
      </c>
      <c r="DA64" s="2"/>
      <c r="DB64" s="2"/>
      <c r="DC64" s="2" t="s">
        <v>3</v>
      </c>
      <c r="DD64" s="2" t="s">
        <v>3</v>
      </c>
      <c r="DE64" s="2" t="s">
        <v>3</v>
      </c>
      <c r="DF64" s="2" t="s">
        <v>3</v>
      </c>
      <c r="DG64" s="2" t="s">
        <v>3</v>
      </c>
      <c r="DH64" s="2" t="s">
        <v>3</v>
      </c>
      <c r="DI64" s="2" t="s">
        <v>3</v>
      </c>
      <c r="DJ64" s="2" t="s">
        <v>3</v>
      </c>
      <c r="DK64" s="2" t="s">
        <v>3</v>
      </c>
      <c r="DL64" s="2" t="s">
        <v>3</v>
      </c>
      <c r="DM64" s="2" t="s">
        <v>3</v>
      </c>
      <c r="DN64" s="2">
        <v>0</v>
      </c>
      <c r="DO64" s="2">
        <v>0</v>
      </c>
      <c r="DP64" s="2">
        <v>1</v>
      </c>
      <c r="DQ64" s="2">
        <v>1</v>
      </c>
      <c r="DR64" s="2"/>
      <c r="DS64" s="2"/>
      <c r="DT64" s="2"/>
      <c r="DU64" s="2">
        <v>1013</v>
      </c>
      <c r="DV64" s="2" t="s">
        <v>73</v>
      </c>
      <c r="DW64" s="2" t="s">
        <v>73</v>
      </c>
      <c r="DX64" s="2">
        <v>1</v>
      </c>
      <c r="DY64" s="2"/>
      <c r="DZ64" s="2" t="s">
        <v>3</v>
      </c>
      <c r="EA64" s="2" t="s">
        <v>3</v>
      </c>
      <c r="EB64" s="2" t="s">
        <v>3</v>
      </c>
      <c r="EC64" s="2" t="s">
        <v>3</v>
      </c>
      <c r="ED64" s="2"/>
      <c r="EE64" s="2">
        <v>65361239</v>
      </c>
      <c r="EF64" s="2">
        <v>6</v>
      </c>
      <c r="EG64" s="2" t="s">
        <v>23</v>
      </c>
      <c r="EH64" s="2">
        <v>102</v>
      </c>
      <c r="EI64" s="2" t="s">
        <v>24</v>
      </c>
      <c r="EJ64" s="2">
        <v>1</v>
      </c>
      <c r="EK64" s="2">
        <v>68001</v>
      </c>
      <c r="EL64" s="2" t="s">
        <v>24</v>
      </c>
      <c r="EM64" s="2" t="s">
        <v>25</v>
      </c>
      <c r="EN64" s="2"/>
      <c r="EO64" s="2" t="s">
        <v>3</v>
      </c>
      <c r="EP64" s="2"/>
      <c r="EQ64" s="2">
        <v>0</v>
      </c>
      <c r="ER64" s="2">
        <v>4.4800000000000004</v>
      </c>
      <c r="ES64" s="2">
        <v>0</v>
      </c>
      <c r="ET64" s="2">
        <v>0</v>
      </c>
      <c r="EU64" s="2">
        <v>0</v>
      </c>
      <c r="EV64" s="2">
        <v>4.4800000000000004</v>
      </c>
      <c r="EW64" s="2">
        <v>0.53</v>
      </c>
      <c r="EX64" s="2">
        <v>0</v>
      </c>
      <c r="EY64" s="2">
        <v>0</v>
      </c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>
        <v>0</v>
      </c>
      <c r="FR64" s="2">
        <f t="shared" si="45"/>
        <v>0</v>
      </c>
      <c r="FS64" s="2">
        <v>0</v>
      </c>
      <c r="FT64" s="2"/>
      <c r="FU64" s="2"/>
      <c r="FV64" s="2"/>
      <c r="FW64" s="2"/>
      <c r="FX64" s="2">
        <v>102</v>
      </c>
      <c r="FY64" s="2">
        <v>54</v>
      </c>
      <c r="FZ64" s="2"/>
      <c r="GA64" s="2" t="s">
        <v>3</v>
      </c>
      <c r="GB64" s="2"/>
      <c r="GC64" s="2"/>
      <c r="GD64" s="2">
        <v>1</v>
      </c>
      <c r="GE64" s="2"/>
      <c r="GF64" s="2">
        <v>1355996170</v>
      </c>
      <c r="GG64" s="2">
        <v>2</v>
      </c>
      <c r="GH64" s="2">
        <v>1</v>
      </c>
      <c r="GI64" s="2">
        <v>-2</v>
      </c>
      <c r="GJ64" s="2">
        <v>0</v>
      </c>
      <c r="GK64" s="2">
        <v>0</v>
      </c>
      <c r="GL64" s="2">
        <f t="shared" si="46"/>
        <v>0</v>
      </c>
      <c r="GM64" s="2">
        <f t="shared" si="121"/>
        <v>0</v>
      </c>
      <c r="GN64" s="2">
        <f t="shared" si="122"/>
        <v>0</v>
      </c>
      <c r="GO64" s="2">
        <f t="shared" si="123"/>
        <v>0</v>
      </c>
      <c r="GP64" s="2">
        <f t="shared" si="124"/>
        <v>0</v>
      </c>
      <c r="GQ64" s="2"/>
      <c r="GR64" s="2">
        <v>0</v>
      </c>
      <c r="GS64" s="2">
        <v>3</v>
      </c>
      <c r="GT64" s="2">
        <v>0</v>
      </c>
      <c r="GU64" s="2" t="s">
        <v>3</v>
      </c>
      <c r="GV64" s="2">
        <f t="shared" si="125"/>
        <v>0</v>
      </c>
      <c r="GW64" s="2">
        <v>1</v>
      </c>
      <c r="GX64" s="2">
        <f t="shared" si="126"/>
        <v>0</v>
      </c>
      <c r="GY64" s="2"/>
      <c r="GZ64" s="2"/>
      <c r="HA64" s="2">
        <v>0</v>
      </c>
      <c r="HB64" s="2">
        <v>0</v>
      </c>
      <c r="HC64" s="2">
        <f t="shared" si="127"/>
        <v>0</v>
      </c>
      <c r="HD64" s="2"/>
      <c r="HE64" s="2" t="s">
        <v>3</v>
      </c>
      <c r="HF64" s="2" t="s">
        <v>3</v>
      </c>
      <c r="HG64" s="2"/>
      <c r="HH64" s="2"/>
      <c r="HI64" s="2">
        <f t="shared" si="54"/>
        <v>0</v>
      </c>
      <c r="HJ64" s="2">
        <f t="shared" si="55"/>
        <v>0</v>
      </c>
      <c r="HK64" s="2">
        <f t="shared" si="128"/>
        <v>0</v>
      </c>
      <c r="HL64" s="2">
        <f t="shared" si="129"/>
        <v>0</v>
      </c>
      <c r="HM64" s="2" t="s">
        <v>3</v>
      </c>
      <c r="HN64" s="2" t="s">
        <v>26</v>
      </c>
      <c r="HO64" s="2" t="s">
        <v>27</v>
      </c>
      <c r="HP64" s="2" t="s">
        <v>24</v>
      </c>
      <c r="HQ64" s="2" t="s">
        <v>24</v>
      </c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>
        <v>0</v>
      </c>
      <c r="IL64" s="2"/>
      <c r="IM64" s="2"/>
      <c r="IN64" s="2"/>
      <c r="IO64" s="2"/>
      <c r="IP64" s="2"/>
      <c r="IQ64" s="2"/>
      <c r="IR64" s="2"/>
      <c r="IS64" s="2"/>
      <c r="IT64" s="2"/>
      <c r="IU64" s="2"/>
    </row>
    <row r="65" spans="1:255">
      <c r="A65">
        <v>17</v>
      </c>
      <c r="B65">
        <v>1</v>
      </c>
      <c r="C65">
        <f>ROW(SmtRes!A66)</f>
        <v>66</v>
      </c>
      <c r="D65">
        <f>ROW(EtalonRes!A68)</f>
        <v>68</v>
      </c>
      <c r="E65" t="s">
        <v>103</v>
      </c>
      <c r="F65" t="s">
        <v>104</v>
      </c>
      <c r="G65" t="s">
        <v>105</v>
      </c>
      <c r="H65" t="s">
        <v>73</v>
      </c>
      <c r="I65">
        <v>0</v>
      </c>
      <c r="J65">
        <v>0</v>
      </c>
      <c r="K65">
        <v>0</v>
      </c>
      <c r="O65">
        <f t="shared" si="98"/>
        <v>0</v>
      </c>
      <c r="P65">
        <f t="shared" si="99"/>
        <v>0</v>
      </c>
      <c r="Q65">
        <f t="shared" si="100"/>
        <v>0</v>
      </c>
      <c r="R65">
        <f t="shared" si="101"/>
        <v>0</v>
      </c>
      <c r="S65">
        <f t="shared" si="102"/>
        <v>0</v>
      </c>
      <c r="T65">
        <f t="shared" si="103"/>
        <v>0</v>
      </c>
      <c r="U65">
        <f t="shared" si="104"/>
        <v>0</v>
      </c>
      <c r="V65">
        <f t="shared" si="105"/>
        <v>0</v>
      </c>
      <c r="W65">
        <f t="shared" si="106"/>
        <v>0</v>
      </c>
      <c r="X65">
        <f t="shared" si="107"/>
        <v>0</v>
      </c>
      <c r="Y65">
        <f t="shared" si="107"/>
        <v>0</v>
      </c>
      <c r="AA65">
        <v>73147422</v>
      </c>
      <c r="AB65">
        <f t="shared" si="108"/>
        <v>4.4800000000000004</v>
      </c>
      <c r="AC65">
        <f t="shared" si="109"/>
        <v>0</v>
      </c>
      <c r="AD65">
        <f t="shared" si="110"/>
        <v>0</v>
      </c>
      <c r="AE65">
        <f t="shared" si="111"/>
        <v>0</v>
      </c>
      <c r="AF65">
        <f t="shared" si="111"/>
        <v>4.4800000000000004</v>
      </c>
      <c r="AG65">
        <f t="shared" si="112"/>
        <v>0</v>
      </c>
      <c r="AH65">
        <f t="shared" si="113"/>
        <v>0.53</v>
      </c>
      <c r="AI65">
        <f t="shared" si="113"/>
        <v>0</v>
      </c>
      <c r="AJ65">
        <f t="shared" si="114"/>
        <v>0</v>
      </c>
      <c r="AK65">
        <v>4.4800000000000004</v>
      </c>
      <c r="AL65">
        <v>0</v>
      </c>
      <c r="AM65">
        <v>0</v>
      </c>
      <c r="AN65">
        <v>0</v>
      </c>
      <c r="AO65">
        <v>4.4800000000000004</v>
      </c>
      <c r="AP65">
        <v>0</v>
      </c>
      <c r="AQ65">
        <v>0.53</v>
      </c>
      <c r="AR65">
        <v>0</v>
      </c>
      <c r="AS65">
        <v>0</v>
      </c>
      <c r="AT65">
        <v>102</v>
      </c>
      <c r="AU65">
        <v>54</v>
      </c>
      <c r="AV65">
        <v>1</v>
      </c>
      <c r="AW65">
        <v>1</v>
      </c>
      <c r="AZ65">
        <v>1</v>
      </c>
      <c r="BA65">
        <v>24.24</v>
      </c>
      <c r="BB65">
        <v>1</v>
      </c>
      <c r="BC65">
        <v>1</v>
      </c>
      <c r="BD65" t="s">
        <v>3</v>
      </c>
      <c r="BE65" t="s">
        <v>3</v>
      </c>
      <c r="BF65" t="s">
        <v>3</v>
      </c>
      <c r="BG65" t="s">
        <v>3</v>
      </c>
      <c r="BH65">
        <v>0</v>
      </c>
      <c r="BI65">
        <v>1</v>
      </c>
      <c r="BJ65" t="s">
        <v>106</v>
      </c>
      <c r="BM65">
        <v>68001</v>
      </c>
      <c r="BN65">
        <v>0</v>
      </c>
      <c r="BO65" t="s">
        <v>3</v>
      </c>
      <c r="BP65">
        <v>0</v>
      </c>
      <c r="BQ65">
        <v>6</v>
      </c>
      <c r="BR65">
        <v>0</v>
      </c>
      <c r="BS65">
        <v>24.24</v>
      </c>
      <c r="BT65">
        <v>1</v>
      </c>
      <c r="BU65">
        <v>1</v>
      </c>
      <c r="BV65">
        <v>1</v>
      </c>
      <c r="BW65">
        <v>1</v>
      </c>
      <c r="BX65">
        <v>1</v>
      </c>
      <c r="BY65" t="s">
        <v>3</v>
      </c>
      <c r="BZ65">
        <v>102</v>
      </c>
      <c r="CA65">
        <v>54</v>
      </c>
      <c r="CB65" t="s">
        <v>3</v>
      </c>
      <c r="CE65">
        <v>0</v>
      </c>
      <c r="CF65">
        <v>0</v>
      </c>
      <c r="CG65">
        <v>0</v>
      </c>
      <c r="CM65">
        <v>0</v>
      </c>
      <c r="CN65" t="s">
        <v>3</v>
      </c>
      <c r="CO65">
        <v>0</v>
      </c>
      <c r="CP65">
        <f t="shared" si="115"/>
        <v>0</v>
      </c>
      <c r="CQ65">
        <f t="shared" si="116"/>
        <v>0</v>
      </c>
      <c r="CR65">
        <f t="shared" si="117"/>
        <v>0</v>
      </c>
      <c r="CS65">
        <f t="shared" si="118"/>
        <v>0</v>
      </c>
      <c r="CT65">
        <f t="shared" si="118"/>
        <v>4.4800000000000004</v>
      </c>
      <c r="CU65">
        <f t="shared" si="118"/>
        <v>0</v>
      </c>
      <c r="CV65">
        <f t="shared" si="118"/>
        <v>0.53</v>
      </c>
      <c r="CW65">
        <f t="shared" si="118"/>
        <v>0</v>
      </c>
      <c r="CX65">
        <f t="shared" si="118"/>
        <v>0</v>
      </c>
      <c r="CY65">
        <f t="shared" si="119"/>
        <v>0</v>
      </c>
      <c r="CZ65">
        <f t="shared" si="120"/>
        <v>0</v>
      </c>
      <c r="DC65" t="s">
        <v>3</v>
      </c>
      <c r="DD65" t="s">
        <v>3</v>
      </c>
      <c r="DE65" t="s">
        <v>3</v>
      </c>
      <c r="DF65" t="s">
        <v>3</v>
      </c>
      <c r="DG65" t="s">
        <v>3</v>
      </c>
      <c r="DH65" t="s">
        <v>3</v>
      </c>
      <c r="DI65" t="s">
        <v>3</v>
      </c>
      <c r="DJ65" t="s">
        <v>3</v>
      </c>
      <c r="DK65" t="s">
        <v>3</v>
      </c>
      <c r="DL65" t="s">
        <v>3</v>
      </c>
      <c r="DM65" t="s">
        <v>3</v>
      </c>
      <c r="DN65">
        <v>0</v>
      </c>
      <c r="DO65">
        <v>0</v>
      </c>
      <c r="DP65">
        <v>1</v>
      </c>
      <c r="DQ65">
        <v>1</v>
      </c>
      <c r="DU65">
        <v>1013</v>
      </c>
      <c r="DV65" t="s">
        <v>73</v>
      </c>
      <c r="DW65" t="s">
        <v>73</v>
      </c>
      <c r="DX65">
        <v>1</v>
      </c>
      <c r="DZ65" t="s">
        <v>3</v>
      </c>
      <c r="EA65" t="s">
        <v>3</v>
      </c>
      <c r="EB65" t="s">
        <v>3</v>
      </c>
      <c r="EC65" t="s">
        <v>3</v>
      </c>
      <c r="EE65">
        <v>65361239</v>
      </c>
      <c r="EF65">
        <v>6</v>
      </c>
      <c r="EG65" t="s">
        <v>23</v>
      </c>
      <c r="EH65">
        <v>102</v>
      </c>
      <c r="EI65" t="s">
        <v>24</v>
      </c>
      <c r="EJ65">
        <v>1</v>
      </c>
      <c r="EK65">
        <v>68001</v>
      </c>
      <c r="EL65" t="s">
        <v>24</v>
      </c>
      <c r="EM65" t="s">
        <v>25</v>
      </c>
      <c r="EO65" t="s">
        <v>3</v>
      </c>
      <c r="EQ65">
        <v>0</v>
      </c>
      <c r="ER65">
        <v>4.4800000000000004</v>
      </c>
      <c r="ES65">
        <v>0</v>
      </c>
      <c r="ET65">
        <v>0</v>
      </c>
      <c r="EU65">
        <v>0</v>
      </c>
      <c r="EV65">
        <v>4.4800000000000004</v>
      </c>
      <c r="EW65">
        <v>0.53</v>
      </c>
      <c r="EX65">
        <v>0</v>
      </c>
      <c r="EY65">
        <v>0</v>
      </c>
      <c r="FQ65">
        <v>0</v>
      </c>
      <c r="FR65">
        <f t="shared" si="45"/>
        <v>0</v>
      </c>
      <c r="FS65">
        <v>0</v>
      </c>
      <c r="FX65">
        <v>102</v>
      </c>
      <c r="FY65">
        <v>54</v>
      </c>
      <c r="GA65" t="s">
        <v>3</v>
      </c>
      <c r="GD65">
        <v>1</v>
      </c>
      <c r="GF65">
        <v>1355996170</v>
      </c>
      <c r="GG65">
        <v>2</v>
      </c>
      <c r="GH65">
        <v>1</v>
      </c>
      <c r="GI65">
        <v>4</v>
      </c>
      <c r="GJ65">
        <v>0</v>
      </c>
      <c r="GK65">
        <v>0</v>
      </c>
      <c r="GL65">
        <f t="shared" si="46"/>
        <v>0</v>
      </c>
      <c r="GM65">
        <f t="shared" si="121"/>
        <v>0</v>
      </c>
      <c r="GN65">
        <f t="shared" si="122"/>
        <v>0</v>
      </c>
      <c r="GO65">
        <f t="shared" si="123"/>
        <v>0</v>
      </c>
      <c r="GP65">
        <f t="shared" si="124"/>
        <v>0</v>
      </c>
      <c r="GR65">
        <v>0</v>
      </c>
      <c r="GS65">
        <v>3</v>
      </c>
      <c r="GT65">
        <v>0</v>
      </c>
      <c r="GU65" t="s">
        <v>3</v>
      </c>
      <c r="GV65">
        <f t="shared" si="125"/>
        <v>0</v>
      </c>
      <c r="GW65">
        <v>1</v>
      </c>
      <c r="GX65">
        <f t="shared" si="126"/>
        <v>0</v>
      </c>
      <c r="HA65">
        <v>0</v>
      </c>
      <c r="HB65">
        <v>0</v>
      </c>
      <c r="HC65">
        <f t="shared" si="127"/>
        <v>0</v>
      </c>
      <c r="HE65" t="s">
        <v>3</v>
      </c>
      <c r="HF65" t="s">
        <v>3</v>
      </c>
      <c r="HI65">
        <f t="shared" si="54"/>
        <v>0</v>
      </c>
      <c r="HJ65">
        <f t="shared" si="55"/>
        <v>0</v>
      </c>
      <c r="HK65">
        <f t="shared" si="128"/>
        <v>0</v>
      </c>
      <c r="HL65">
        <f t="shared" si="129"/>
        <v>0</v>
      </c>
      <c r="HM65" t="s">
        <v>3</v>
      </c>
      <c r="HN65" t="s">
        <v>26</v>
      </c>
      <c r="HO65" t="s">
        <v>27</v>
      </c>
      <c r="HP65" t="s">
        <v>24</v>
      </c>
      <c r="HQ65" t="s">
        <v>24</v>
      </c>
      <c r="IK65">
        <v>0</v>
      </c>
    </row>
    <row r="66" spans="1:255">
      <c r="A66" s="2">
        <v>17</v>
      </c>
      <c r="B66" s="2">
        <v>1</v>
      </c>
      <c r="C66" s="2"/>
      <c r="D66" s="2"/>
      <c r="E66" s="2" t="s">
        <v>107</v>
      </c>
      <c r="F66" s="2" t="s">
        <v>108</v>
      </c>
      <c r="G66" s="2" t="s">
        <v>109</v>
      </c>
      <c r="H66" s="2" t="s">
        <v>55</v>
      </c>
      <c r="I66" s="2">
        <f>ROUND(0,7)</f>
        <v>0</v>
      </c>
      <c r="J66" s="2">
        <v>0</v>
      </c>
      <c r="K66" s="2">
        <f>ROUND(0,7)</f>
        <v>0</v>
      </c>
      <c r="L66" s="2"/>
      <c r="M66" s="2"/>
      <c r="N66" s="2"/>
      <c r="O66" s="2">
        <f>0</f>
        <v>0</v>
      </c>
      <c r="P66" s="2">
        <f>0</f>
        <v>0</v>
      </c>
      <c r="Q66" s="2">
        <f>0</f>
        <v>0</v>
      </c>
      <c r="R66" s="2">
        <f>0</f>
        <v>0</v>
      </c>
      <c r="S66" s="2">
        <f>0</f>
        <v>0</v>
      </c>
      <c r="T66" s="2">
        <f>0</f>
        <v>0</v>
      </c>
      <c r="U66" s="2">
        <f>0</f>
        <v>0</v>
      </c>
      <c r="V66" s="2">
        <f>0</f>
        <v>0</v>
      </c>
      <c r="W66" s="2">
        <f>0</f>
        <v>0</v>
      </c>
      <c r="X66" s="2">
        <f>0</f>
        <v>0</v>
      </c>
      <c r="Y66" s="2">
        <f>0</f>
        <v>0</v>
      </c>
      <c r="Z66" s="2"/>
      <c r="AA66" s="2">
        <v>73147424</v>
      </c>
      <c r="AB66" s="2">
        <f>ROUND((AK66),2)</f>
        <v>3.28</v>
      </c>
      <c r="AC66" s="2">
        <f>0</f>
        <v>0</v>
      </c>
      <c r="AD66" s="2">
        <f>0</f>
        <v>0</v>
      </c>
      <c r="AE66" s="2">
        <f>0</f>
        <v>0</v>
      </c>
      <c r="AF66" s="2">
        <f>0</f>
        <v>0</v>
      </c>
      <c r="AG66" s="2">
        <f>0</f>
        <v>0</v>
      </c>
      <c r="AH66" s="2">
        <f>0</f>
        <v>0</v>
      </c>
      <c r="AI66" s="2">
        <f>0</f>
        <v>0</v>
      </c>
      <c r="AJ66" s="2">
        <f>0</f>
        <v>0</v>
      </c>
      <c r="AK66" s="2">
        <v>3.28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1</v>
      </c>
      <c r="AW66" s="2">
        <v>1</v>
      </c>
      <c r="AX66" s="2"/>
      <c r="AY66" s="2"/>
      <c r="AZ66" s="2">
        <v>1</v>
      </c>
      <c r="BA66" s="2">
        <v>1</v>
      </c>
      <c r="BB66" s="2">
        <v>1</v>
      </c>
      <c r="BC66" s="2">
        <v>1</v>
      </c>
      <c r="BD66" s="2" t="s">
        <v>3</v>
      </c>
      <c r="BE66" s="2" t="s">
        <v>3</v>
      </c>
      <c r="BF66" s="2" t="s">
        <v>3</v>
      </c>
      <c r="BG66" s="2" t="s">
        <v>3</v>
      </c>
      <c r="BH66" s="2">
        <v>0</v>
      </c>
      <c r="BI66" s="2">
        <v>1</v>
      </c>
      <c r="BJ66" s="2" t="s">
        <v>110</v>
      </c>
      <c r="BK66" s="2"/>
      <c r="BL66" s="2"/>
      <c r="BM66" s="2">
        <v>700004</v>
      </c>
      <c r="BN66" s="2">
        <v>0</v>
      </c>
      <c r="BO66" s="2" t="s">
        <v>3</v>
      </c>
      <c r="BP66" s="2">
        <v>0</v>
      </c>
      <c r="BQ66" s="2">
        <v>19</v>
      </c>
      <c r="BR66" s="2">
        <v>0</v>
      </c>
      <c r="BS66" s="2">
        <v>1</v>
      </c>
      <c r="BT66" s="2">
        <v>1</v>
      </c>
      <c r="BU66" s="2">
        <v>1</v>
      </c>
      <c r="BV66" s="2">
        <v>1</v>
      </c>
      <c r="BW66" s="2">
        <v>1</v>
      </c>
      <c r="BX66" s="2">
        <v>1</v>
      </c>
      <c r="BY66" s="2" t="s">
        <v>3</v>
      </c>
      <c r="BZ66" s="2">
        <v>0</v>
      </c>
      <c r="CA66" s="2">
        <v>0</v>
      </c>
      <c r="CB66" s="2" t="s">
        <v>3</v>
      </c>
      <c r="CC66" s="2"/>
      <c r="CD66" s="2"/>
      <c r="CE66" s="2">
        <v>0</v>
      </c>
      <c r="CF66" s="2">
        <v>0</v>
      </c>
      <c r="CG66" s="2">
        <v>0</v>
      </c>
      <c r="CH66" s="2"/>
      <c r="CI66" s="2"/>
      <c r="CJ66" s="2"/>
      <c r="CK66" s="2"/>
      <c r="CL66" s="2"/>
      <c r="CM66" s="2">
        <v>0</v>
      </c>
      <c r="CN66" s="2" t="s">
        <v>3</v>
      </c>
      <c r="CO66" s="2">
        <v>0</v>
      </c>
      <c r="CP66" s="2">
        <f>AB66*AZ66</f>
        <v>3.28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/>
      <c r="DB66" s="2"/>
      <c r="DC66" s="2" t="s">
        <v>3</v>
      </c>
      <c r="DD66" s="2" t="s">
        <v>3</v>
      </c>
      <c r="DE66" s="2" t="s">
        <v>3</v>
      </c>
      <c r="DF66" s="2" t="s">
        <v>3</v>
      </c>
      <c r="DG66" s="2" t="s">
        <v>3</v>
      </c>
      <c r="DH66" s="2" t="s">
        <v>3</v>
      </c>
      <c r="DI66" s="2" t="s">
        <v>3</v>
      </c>
      <c r="DJ66" s="2" t="s">
        <v>3</v>
      </c>
      <c r="DK66" s="2" t="s">
        <v>3</v>
      </c>
      <c r="DL66" s="2" t="s">
        <v>3</v>
      </c>
      <c r="DM66" s="2" t="s">
        <v>3</v>
      </c>
      <c r="DN66" s="2">
        <v>0</v>
      </c>
      <c r="DO66" s="2">
        <v>0</v>
      </c>
      <c r="DP66" s="2">
        <v>1</v>
      </c>
      <c r="DQ66" s="2">
        <v>1</v>
      </c>
      <c r="DR66" s="2"/>
      <c r="DS66" s="2"/>
      <c r="DT66" s="2"/>
      <c r="DU66" s="2">
        <v>1013</v>
      </c>
      <c r="DV66" s="2" t="s">
        <v>55</v>
      </c>
      <c r="DW66" s="2" t="s">
        <v>55</v>
      </c>
      <c r="DX66" s="2">
        <v>1</v>
      </c>
      <c r="DY66" s="2"/>
      <c r="DZ66" s="2" t="s">
        <v>3</v>
      </c>
      <c r="EA66" s="2" t="s">
        <v>3</v>
      </c>
      <c r="EB66" s="2" t="s">
        <v>3</v>
      </c>
      <c r="EC66" s="2" t="s">
        <v>3</v>
      </c>
      <c r="ED66" s="2"/>
      <c r="EE66" s="2">
        <v>65361301</v>
      </c>
      <c r="EF66" s="2">
        <v>19</v>
      </c>
      <c r="EG66" s="2" t="s">
        <v>57</v>
      </c>
      <c r="EH66" s="2">
        <v>106</v>
      </c>
      <c r="EI66" s="2" t="s">
        <v>57</v>
      </c>
      <c r="EJ66" s="2">
        <v>1</v>
      </c>
      <c r="EK66" s="2">
        <v>700004</v>
      </c>
      <c r="EL66" s="2" t="s">
        <v>57</v>
      </c>
      <c r="EM66" s="2" t="s">
        <v>58</v>
      </c>
      <c r="EN66" s="2"/>
      <c r="EO66" s="2" t="s">
        <v>3</v>
      </c>
      <c r="EP66" s="2"/>
      <c r="EQ66" s="2">
        <v>131072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>
        <v>0</v>
      </c>
      <c r="FR66" s="2">
        <f t="shared" si="45"/>
        <v>0</v>
      </c>
      <c r="FS66" s="2">
        <v>0</v>
      </c>
      <c r="FT66" s="2"/>
      <c r="FU66" s="2"/>
      <c r="FV66" s="2"/>
      <c r="FW66" s="2"/>
      <c r="FX66" s="2">
        <v>0</v>
      </c>
      <c r="FY66" s="2">
        <v>0</v>
      </c>
      <c r="FZ66" s="2"/>
      <c r="GA66" s="2" t="s">
        <v>3</v>
      </c>
      <c r="GB66" s="2"/>
      <c r="GC66" s="2"/>
      <c r="GD66" s="2">
        <v>1</v>
      </c>
      <c r="GE66" s="2"/>
      <c r="GF66" s="2">
        <v>-865554278</v>
      </c>
      <c r="GG66" s="2">
        <v>2</v>
      </c>
      <c r="GH66" s="2">
        <v>1</v>
      </c>
      <c r="GI66" s="2">
        <v>-2</v>
      </c>
      <c r="GJ66" s="2">
        <v>2</v>
      </c>
      <c r="GK66" s="2">
        <v>0</v>
      </c>
      <c r="GL66" s="2">
        <f t="shared" si="46"/>
        <v>0</v>
      </c>
      <c r="GM66" s="2">
        <f>ROUND(CP66*I66,2)</f>
        <v>0</v>
      </c>
      <c r="GN66" s="2">
        <f>IF(OR(BI66=0,BI66=1),ROUND(CP66*I66,2),0)</f>
        <v>0</v>
      </c>
      <c r="GO66" s="2">
        <f>IF(BI66=2,ROUND(CP66*I66,2),0)</f>
        <v>0</v>
      </c>
      <c r="GP66" s="2">
        <f>IF(BI66=4,ROUND(CP66*I66,2)+GX66,0)</f>
        <v>0</v>
      </c>
      <c r="GQ66" s="2"/>
      <c r="GR66" s="2">
        <v>0</v>
      </c>
      <c r="GS66" s="2">
        <v>0</v>
      </c>
      <c r="GT66" s="2">
        <v>0</v>
      </c>
      <c r="GU66" s="2" t="s">
        <v>3</v>
      </c>
      <c r="GV66" s="2">
        <f>0</f>
        <v>0</v>
      </c>
      <c r="GW66" s="2">
        <v>1</v>
      </c>
      <c r="GX66" s="2">
        <f>0</f>
        <v>0</v>
      </c>
      <c r="GY66" s="2"/>
      <c r="GZ66" s="2"/>
      <c r="HA66" s="2">
        <v>0</v>
      </c>
      <c r="HB66" s="2">
        <v>0</v>
      </c>
      <c r="HC66" s="2">
        <v>0</v>
      </c>
      <c r="HD66" s="2">
        <f>GM66</f>
        <v>0</v>
      </c>
      <c r="HE66" s="2" t="s">
        <v>3</v>
      </c>
      <c r="HF66" s="2" t="s">
        <v>3</v>
      </c>
      <c r="HG66" s="2"/>
      <c r="HH66" s="2"/>
      <c r="HI66" s="2">
        <f t="shared" si="54"/>
        <v>0</v>
      </c>
      <c r="HJ66" s="2">
        <f t="shared" si="55"/>
        <v>0</v>
      </c>
      <c r="HK66" s="2"/>
      <c r="HL66" s="2"/>
      <c r="HM66" s="2" t="s">
        <v>3</v>
      </c>
      <c r="HN66" s="2" t="s">
        <v>3</v>
      </c>
      <c r="HO66" s="2" t="s">
        <v>3</v>
      </c>
      <c r="HP66" s="2" t="s">
        <v>3</v>
      </c>
      <c r="HQ66" s="2" t="s">
        <v>3</v>
      </c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>
        <v>0</v>
      </c>
      <c r="IL66" s="2"/>
      <c r="IM66" s="2"/>
      <c r="IN66" s="2"/>
      <c r="IO66" s="2"/>
      <c r="IP66" s="2"/>
      <c r="IQ66" s="2"/>
      <c r="IR66" s="2"/>
      <c r="IS66" s="2"/>
      <c r="IT66" s="2"/>
      <c r="IU66" s="2"/>
    </row>
    <row r="67" spans="1:255">
      <c r="A67">
        <v>17</v>
      </c>
      <c r="B67">
        <v>1</v>
      </c>
      <c r="E67" t="s">
        <v>107</v>
      </c>
      <c r="F67" t="s">
        <v>108</v>
      </c>
      <c r="G67" t="s">
        <v>109</v>
      </c>
      <c r="H67" t="s">
        <v>55</v>
      </c>
      <c r="I67">
        <f>ROUND(0,7)</f>
        <v>0</v>
      </c>
      <c r="J67">
        <v>0</v>
      </c>
      <c r="K67">
        <f>ROUND(0,7)</f>
        <v>0</v>
      </c>
      <c r="O67">
        <f>0</f>
        <v>0</v>
      </c>
      <c r="P67">
        <f>0</f>
        <v>0</v>
      </c>
      <c r="Q67">
        <f>0</f>
        <v>0</v>
      </c>
      <c r="R67">
        <f>0</f>
        <v>0</v>
      </c>
      <c r="S67">
        <f>0</f>
        <v>0</v>
      </c>
      <c r="T67">
        <f>0</f>
        <v>0</v>
      </c>
      <c r="U67">
        <f>0</f>
        <v>0</v>
      </c>
      <c r="V67">
        <f>0</f>
        <v>0</v>
      </c>
      <c r="W67">
        <f>0</f>
        <v>0</v>
      </c>
      <c r="X67">
        <f>0</f>
        <v>0</v>
      </c>
      <c r="Y67">
        <f>0</f>
        <v>0</v>
      </c>
      <c r="AA67">
        <v>73147422</v>
      </c>
      <c r="AB67">
        <f>ROUND((AK67),2)</f>
        <v>3.28</v>
      </c>
      <c r="AC67">
        <f>0</f>
        <v>0</v>
      </c>
      <c r="AD67">
        <f>0</f>
        <v>0</v>
      </c>
      <c r="AE67">
        <f>0</f>
        <v>0</v>
      </c>
      <c r="AF67">
        <f>0</f>
        <v>0</v>
      </c>
      <c r="AG67">
        <f>0</f>
        <v>0</v>
      </c>
      <c r="AH67">
        <f>0</f>
        <v>0</v>
      </c>
      <c r="AI67">
        <f>0</f>
        <v>0</v>
      </c>
      <c r="AJ67">
        <f>0</f>
        <v>0</v>
      </c>
      <c r="AK67">
        <v>3.28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1</v>
      </c>
      <c r="AW67">
        <v>1</v>
      </c>
      <c r="AZ67">
        <v>1</v>
      </c>
      <c r="BA67">
        <v>1</v>
      </c>
      <c r="BB67">
        <v>1</v>
      </c>
      <c r="BC67">
        <v>1</v>
      </c>
      <c r="BD67" t="s">
        <v>3</v>
      </c>
      <c r="BE67" t="s">
        <v>3</v>
      </c>
      <c r="BF67" t="s">
        <v>3</v>
      </c>
      <c r="BG67" t="s">
        <v>3</v>
      </c>
      <c r="BH67">
        <v>0</v>
      </c>
      <c r="BI67">
        <v>1</v>
      </c>
      <c r="BJ67" t="s">
        <v>110</v>
      </c>
      <c r="BM67">
        <v>700004</v>
      </c>
      <c r="BN67">
        <v>0</v>
      </c>
      <c r="BO67" t="s">
        <v>3</v>
      </c>
      <c r="BP67">
        <v>0</v>
      </c>
      <c r="BQ67">
        <v>19</v>
      </c>
      <c r="BR67">
        <v>0</v>
      </c>
      <c r="BS67">
        <v>1</v>
      </c>
      <c r="BT67">
        <v>1</v>
      </c>
      <c r="BU67">
        <v>1</v>
      </c>
      <c r="BV67">
        <v>1</v>
      </c>
      <c r="BW67">
        <v>1</v>
      </c>
      <c r="BX67">
        <v>1</v>
      </c>
      <c r="BY67" t="s">
        <v>3</v>
      </c>
      <c r="BZ67">
        <v>0</v>
      </c>
      <c r="CA67">
        <v>0</v>
      </c>
      <c r="CB67" t="s">
        <v>3</v>
      </c>
      <c r="CE67">
        <v>0</v>
      </c>
      <c r="CF67">
        <v>0</v>
      </c>
      <c r="CG67">
        <v>0</v>
      </c>
      <c r="CM67">
        <v>0</v>
      </c>
      <c r="CN67" t="s">
        <v>3</v>
      </c>
      <c r="CO67">
        <v>0</v>
      </c>
      <c r="CP67">
        <f>AB67*AZ67</f>
        <v>3.28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C67" t="s">
        <v>3</v>
      </c>
      <c r="DD67" t="s">
        <v>3</v>
      </c>
      <c r="DE67" t="s">
        <v>3</v>
      </c>
      <c r="DF67" t="s">
        <v>3</v>
      </c>
      <c r="DG67" t="s">
        <v>3</v>
      </c>
      <c r="DH67" t="s">
        <v>3</v>
      </c>
      <c r="DI67" t="s">
        <v>3</v>
      </c>
      <c r="DJ67" t="s">
        <v>3</v>
      </c>
      <c r="DK67" t="s">
        <v>3</v>
      </c>
      <c r="DL67" t="s">
        <v>3</v>
      </c>
      <c r="DM67" t="s">
        <v>3</v>
      </c>
      <c r="DN67">
        <v>0</v>
      </c>
      <c r="DO67">
        <v>0</v>
      </c>
      <c r="DP67">
        <v>1</v>
      </c>
      <c r="DQ67">
        <v>1</v>
      </c>
      <c r="DU67">
        <v>1013</v>
      </c>
      <c r="DV67" t="s">
        <v>55</v>
      </c>
      <c r="DW67" t="s">
        <v>55</v>
      </c>
      <c r="DX67">
        <v>1</v>
      </c>
      <c r="DZ67" t="s">
        <v>3</v>
      </c>
      <c r="EA67" t="s">
        <v>3</v>
      </c>
      <c r="EB67" t="s">
        <v>3</v>
      </c>
      <c r="EC67" t="s">
        <v>3</v>
      </c>
      <c r="EE67">
        <v>65361301</v>
      </c>
      <c r="EF67">
        <v>19</v>
      </c>
      <c r="EG67" t="s">
        <v>57</v>
      </c>
      <c r="EH67">
        <v>106</v>
      </c>
      <c r="EI67" t="s">
        <v>57</v>
      </c>
      <c r="EJ67">
        <v>1</v>
      </c>
      <c r="EK67">
        <v>700004</v>
      </c>
      <c r="EL67" t="s">
        <v>57</v>
      </c>
      <c r="EM67" t="s">
        <v>58</v>
      </c>
      <c r="EO67" t="s">
        <v>3</v>
      </c>
      <c r="EQ67">
        <v>131072</v>
      </c>
      <c r="ER67">
        <v>0</v>
      </c>
      <c r="ES67">
        <v>0</v>
      </c>
      <c r="ET67">
        <v>0</v>
      </c>
      <c r="EU67">
        <v>0</v>
      </c>
      <c r="EV67">
        <v>0</v>
      </c>
      <c r="EW67">
        <v>0</v>
      </c>
      <c r="EX67">
        <v>0</v>
      </c>
      <c r="EY67">
        <v>0</v>
      </c>
      <c r="FQ67">
        <v>0</v>
      </c>
      <c r="FR67">
        <f t="shared" si="45"/>
        <v>0</v>
      </c>
      <c r="FS67">
        <v>0</v>
      </c>
      <c r="FX67">
        <v>0</v>
      </c>
      <c r="FY67">
        <v>0</v>
      </c>
      <c r="GA67" t="s">
        <v>3</v>
      </c>
      <c r="GD67">
        <v>1</v>
      </c>
      <c r="GF67">
        <v>-865554278</v>
      </c>
      <c r="GG67">
        <v>2</v>
      </c>
      <c r="GH67">
        <v>1</v>
      </c>
      <c r="GI67">
        <v>4</v>
      </c>
      <c r="GJ67">
        <v>2</v>
      </c>
      <c r="GK67">
        <v>0</v>
      </c>
      <c r="GL67">
        <f t="shared" si="46"/>
        <v>0</v>
      </c>
      <c r="GM67">
        <f>ROUND(CP67*I67,2)</f>
        <v>0</v>
      </c>
      <c r="GN67">
        <f>IF(OR(BI67=0,BI67=1),ROUND(CP67*I67,2),0)</f>
        <v>0</v>
      </c>
      <c r="GO67">
        <f>IF(BI67=2,ROUND(CP67*I67,2),0)</f>
        <v>0</v>
      </c>
      <c r="GP67">
        <f>IF(BI67=4,ROUND(CP67*I67,2)+GX67,0)</f>
        <v>0</v>
      </c>
      <c r="GR67">
        <v>0</v>
      </c>
      <c r="GS67">
        <v>3</v>
      </c>
      <c r="GT67">
        <v>0</v>
      </c>
      <c r="GU67" t="s">
        <v>3</v>
      </c>
      <c r="GV67">
        <f>0</f>
        <v>0</v>
      </c>
      <c r="GW67">
        <v>1</v>
      </c>
      <c r="GX67">
        <f>0</f>
        <v>0</v>
      </c>
      <c r="HA67">
        <v>0</v>
      </c>
      <c r="HB67">
        <v>0</v>
      </c>
      <c r="HC67">
        <v>0</v>
      </c>
      <c r="HD67">
        <f>GM67</f>
        <v>0</v>
      </c>
      <c r="HE67" t="s">
        <v>3</v>
      </c>
      <c r="HF67" t="s">
        <v>3</v>
      </c>
      <c r="HI67">
        <f t="shared" si="54"/>
        <v>0</v>
      </c>
      <c r="HJ67">
        <f t="shared" si="55"/>
        <v>0</v>
      </c>
      <c r="HM67" t="s">
        <v>3</v>
      </c>
      <c r="HN67" t="s">
        <v>3</v>
      </c>
      <c r="HO67" t="s">
        <v>3</v>
      </c>
      <c r="HP67" t="s">
        <v>3</v>
      </c>
      <c r="HQ67" t="s">
        <v>3</v>
      </c>
      <c r="IK67">
        <v>0</v>
      </c>
    </row>
    <row r="69" spans="1:255">
      <c r="A69" s="3">
        <v>51</v>
      </c>
      <c r="B69" s="3">
        <f>B20</f>
        <v>1</v>
      </c>
      <c r="C69" s="3">
        <f>A20</f>
        <v>3</v>
      </c>
      <c r="D69" s="3">
        <f>ROW(A20)</f>
        <v>20</v>
      </c>
      <c r="E69" s="3"/>
      <c r="F69" s="3" t="str">
        <f>IF(F20&lt;&gt;"",F20,"")</f>
        <v/>
      </c>
      <c r="G69" s="3" t="str">
        <f>IF(G20&lt;&gt;"",G20,"")</f>
        <v xml:space="preserve">Удаление деревьев на территории д.Чемоданово Юхновского района </v>
      </c>
      <c r="H69" s="3">
        <v>0</v>
      </c>
      <c r="I69" s="3"/>
      <c r="J69" s="3"/>
      <c r="K69" s="3"/>
      <c r="L69" s="3"/>
      <c r="M69" s="3"/>
      <c r="N69" s="3"/>
      <c r="O69" s="3">
        <f t="shared" ref="O69:T69" si="130">ROUND(AB69,2)</f>
        <v>4922.7700000000004</v>
      </c>
      <c r="P69" s="3">
        <f t="shared" si="130"/>
        <v>0</v>
      </c>
      <c r="Q69" s="3">
        <f t="shared" si="130"/>
        <v>0</v>
      </c>
      <c r="R69" s="3">
        <f t="shared" si="130"/>
        <v>0</v>
      </c>
      <c r="S69" s="3">
        <f t="shared" si="130"/>
        <v>4922.7700000000004</v>
      </c>
      <c r="T69" s="3">
        <f t="shared" si="130"/>
        <v>0</v>
      </c>
      <c r="U69" s="3">
        <f>AH69</f>
        <v>544.90200000000004</v>
      </c>
      <c r="V69" s="3">
        <f>AI69</f>
        <v>0</v>
      </c>
      <c r="W69" s="3">
        <f>ROUND(AJ69,2)</f>
        <v>0</v>
      </c>
      <c r="X69" s="3">
        <f>ROUND(AK69,2)</f>
        <v>4981.92</v>
      </c>
      <c r="Y69" s="3">
        <f>ROUND(AL69,2)</f>
        <v>2619</v>
      </c>
      <c r="Z69" s="3"/>
      <c r="AA69" s="3"/>
      <c r="AB69" s="3">
        <f>ROUND(SUMIF(AA24:AA67,"=73147424",O24:O67),2)</f>
        <v>4922.7700000000004</v>
      </c>
      <c r="AC69" s="3">
        <f>ROUND(SUMIF(AA24:AA67,"=73147424",P24:P67),2)</f>
        <v>0</v>
      </c>
      <c r="AD69" s="3">
        <f>ROUND(SUMIF(AA24:AA67,"=73147424",Q24:Q67),2)</f>
        <v>0</v>
      </c>
      <c r="AE69" s="3">
        <f>ROUND(SUMIF(AA24:AA67,"=73147424",R24:R67),2)</f>
        <v>0</v>
      </c>
      <c r="AF69" s="3">
        <f>ROUND(SUMIF(AA24:AA67,"=73147424",S24:S67),2)</f>
        <v>4922.7700000000004</v>
      </c>
      <c r="AG69" s="3">
        <f>ROUND(SUMIF(AA24:AA67,"=73147424",T24:T67),2)</f>
        <v>0</v>
      </c>
      <c r="AH69" s="3">
        <f>SUMIF(AA24:AA67,"=73147424",U24:U67)</f>
        <v>544.90200000000004</v>
      </c>
      <c r="AI69" s="3">
        <f>SUMIF(AA24:AA67,"=73147424",V24:V67)</f>
        <v>0</v>
      </c>
      <c r="AJ69" s="3">
        <f>ROUND(SUMIF(AA24:AA67,"=73147424",W24:W67),2)</f>
        <v>0</v>
      </c>
      <c r="AK69" s="3">
        <f>ROUND(SUMIF(AA24:AA67,"=73147424",X24:X67),2)</f>
        <v>4981.92</v>
      </c>
      <c r="AL69" s="3">
        <f>ROUND(SUMIF(AA24:AA67,"=73147424",Y24:Y67),2)</f>
        <v>2619</v>
      </c>
      <c r="AM69" s="3"/>
      <c r="AN69" s="3"/>
      <c r="AO69" s="3">
        <f t="shared" ref="AO69:BD69" si="131">ROUND(BX69,2)</f>
        <v>0</v>
      </c>
      <c r="AP69" s="3">
        <f t="shared" si="131"/>
        <v>0</v>
      </c>
      <c r="AQ69" s="3">
        <f t="shared" si="131"/>
        <v>0</v>
      </c>
      <c r="AR69" s="3">
        <f t="shared" si="131"/>
        <v>18950.490000000002</v>
      </c>
      <c r="AS69" s="3">
        <f t="shared" si="131"/>
        <v>18950.490000000002</v>
      </c>
      <c r="AT69" s="3">
        <f t="shared" si="131"/>
        <v>0</v>
      </c>
      <c r="AU69" s="3">
        <f t="shared" si="131"/>
        <v>0</v>
      </c>
      <c r="AV69" s="3">
        <f t="shared" si="131"/>
        <v>0</v>
      </c>
      <c r="AW69" s="3">
        <f t="shared" si="131"/>
        <v>0</v>
      </c>
      <c r="AX69" s="3">
        <f t="shared" si="131"/>
        <v>0</v>
      </c>
      <c r="AY69" s="3">
        <f t="shared" si="131"/>
        <v>0</v>
      </c>
      <c r="AZ69" s="3">
        <f t="shared" si="131"/>
        <v>0</v>
      </c>
      <c r="BA69" s="3">
        <f t="shared" si="131"/>
        <v>0</v>
      </c>
      <c r="BB69" s="3">
        <f t="shared" si="131"/>
        <v>0</v>
      </c>
      <c r="BC69" s="3">
        <f t="shared" si="131"/>
        <v>0</v>
      </c>
      <c r="BD69" s="3">
        <f t="shared" si="131"/>
        <v>6426.8</v>
      </c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>
        <f>ROUND(SUMIF(AA24:AA67,"=73147424",FQ24:FQ67),2)</f>
        <v>0</v>
      </c>
      <c r="BY69" s="3">
        <f>ROUND(SUMIF(AA24:AA67,"=73147424",FR24:FR67),2)</f>
        <v>0</v>
      </c>
      <c r="BZ69" s="3">
        <f>ROUND(SUMIF(AA24:AA67,"=73147424",GL24:GL67),2)</f>
        <v>0</v>
      </c>
      <c r="CA69" s="3">
        <f>ROUND(SUMIF(AA24:AA67,"=73147424",GM24:GM67),2)</f>
        <v>18950.490000000002</v>
      </c>
      <c r="CB69" s="3">
        <f>ROUND(SUMIF(AA24:AA67,"=73147424",GN24:GN67),2)</f>
        <v>18950.490000000002</v>
      </c>
      <c r="CC69" s="3">
        <f>ROUND(SUMIF(AA24:AA67,"=73147424",GO24:GO67),2)</f>
        <v>0</v>
      </c>
      <c r="CD69" s="3">
        <f>ROUND(SUMIF(AA24:AA67,"=73147424",GP24:GP67),2)</f>
        <v>0</v>
      </c>
      <c r="CE69" s="3">
        <f>AC69-BX69</f>
        <v>0</v>
      </c>
      <c r="CF69" s="3">
        <f>AC69-BY69</f>
        <v>0</v>
      </c>
      <c r="CG69" s="3">
        <f>BX69-BZ69</f>
        <v>0</v>
      </c>
      <c r="CH69" s="3">
        <f>AC69-BX69-BY69+BZ69</f>
        <v>0</v>
      </c>
      <c r="CI69" s="3">
        <f>BY69-BZ69</f>
        <v>0</v>
      </c>
      <c r="CJ69" s="3">
        <f>ROUND(SUMIF(AA24:AA67,"=73147424",GX24:GX67),2)</f>
        <v>0</v>
      </c>
      <c r="CK69" s="3">
        <f>ROUND(SUMIF(AA24:AA67,"=73147424",GY24:GY67),2)</f>
        <v>0</v>
      </c>
      <c r="CL69" s="3">
        <f>ROUND(SUMIF(AA24:AA67,"=73147424",GZ24:GZ67),2)</f>
        <v>0</v>
      </c>
      <c r="CM69" s="3">
        <f>ROUND(SUMIF(AA24:AA67,"=73147424",HD24:HD67),2)</f>
        <v>6426.8</v>
      </c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4">
        <f t="shared" ref="DG69:DL69" si="132">ROUND(DT69,2)</f>
        <v>4922.7700000000004</v>
      </c>
      <c r="DH69" s="4">
        <f t="shared" si="132"/>
        <v>0</v>
      </c>
      <c r="DI69" s="4">
        <f t="shared" si="132"/>
        <v>0</v>
      </c>
      <c r="DJ69" s="4">
        <f t="shared" si="132"/>
        <v>0</v>
      </c>
      <c r="DK69" s="4">
        <f t="shared" si="132"/>
        <v>4922.7700000000004</v>
      </c>
      <c r="DL69" s="4">
        <f t="shared" si="132"/>
        <v>0</v>
      </c>
      <c r="DM69" s="4">
        <f>DZ69</f>
        <v>544.90200000000004</v>
      </c>
      <c r="DN69" s="4">
        <f>EA69</f>
        <v>0</v>
      </c>
      <c r="DO69" s="4">
        <f>ROUND(EB69,2)</f>
        <v>0</v>
      </c>
      <c r="DP69" s="4">
        <f>ROUND(EC69,2)</f>
        <v>4981.92</v>
      </c>
      <c r="DQ69" s="4">
        <f>ROUND(ED69,2)</f>
        <v>2619</v>
      </c>
      <c r="DR69" s="4"/>
      <c r="DS69" s="4"/>
      <c r="DT69" s="4">
        <f>ROUND(SUMIF(AA24:AA67,"=73147422",O24:O67),2)</f>
        <v>4922.7700000000004</v>
      </c>
      <c r="DU69" s="4">
        <f>ROUND(SUMIF(AA24:AA67,"=73147422",P24:P67),2)</f>
        <v>0</v>
      </c>
      <c r="DV69" s="4">
        <f>ROUND(SUMIF(AA24:AA67,"=73147422",Q24:Q67),2)</f>
        <v>0</v>
      </c>
      <c r="DW69" s="4">
        <f>ROUND(SUMIF(AA24:AA67,"=73147422",R24:R67),2)</f>
        <v>0</v>
      </c>
      <c r="DX69" s="4">
        <f>ROUND(SUMIF(AA24:AA67,"=73147422",S24:S67),2)</f>
        <v>4922.7700000000004</v>
      </c>
      <c r="DY69" s="4">
        <f>ROUND(SUMIF(AA24:AA67,"=73147422",T24:T67),2)</f>
        <v>0</v>
      </c>
      <c r="DZ69" s="4">
        <f>SUMIF(AA24:AA67,"=73147422",U24:U67)</f>
        <v>544.90200000000004</v>
      </c>
      <c r="EA69" s="4">
        <f>SUMIF(AA24:AA67,"=73147422",V24:V67)</f>
        <v>0</v>
      </c>
      <c r="EB69" s="4">
        <f>ROUND(SUMIF(AA24:AA67,"=73147422",W24:W67),2)</f>
        <v>0</v>
      </c>
      <c r="EC69" s="4">
        <f>ROUND(SUMIF(AA24:AA67,"=73147422",X24:X67),2)</f>
        <v>4981.92</v>
      </c>
      <c r="ED69" s="4">
        <f>ROUND(SUMIF(AA24:AA67,"=73147422",Y24:Y67),2)</f>
        <v>2619</v>
      </c>
      <c r="EE69" s="4"/>
      <c r="EF69" s="4"/>
      <c r="EG69" s="4">
        <f t="shared" ref="EG69:EV69" si="133">ROUND(FP69,2)</f>
        <v>0</v>
      </c>
      <c r="EH69" s="4">
        <f t="shared" si="133"/>
        <v>0</v>
      </c>
      <c r="EI69" s="4">
        <f t="shared" si="133"/>
        <v>0</v>
      </c>
      <c r="EJ69" s="4">
        <f t="shared" si="133"/>
        <v>18950.490000000002</v>
      </c>
      <c r="EK69" s="4">
        <f t="shared" si="133"/>
        <v>18950.490000000002</v>
      </c>
      <c r="EL69" s="4">
        <f t="shared" si="133"/>
        <v>0</v>
      </c>
      <c r="EM69" s="4">
        <f t="shared" si="133"/>
        <v>0</v>
      </c>
      <c r="EN69" s="4">
        <f t="shared" si="133"/>
        <v>0</v>
      </c>
      <c r="EO69" s="4">
        <f t="shared" si="133"/>
        <v>0</v>
      </c>
      <c r="EP69" s="4">
        <f t="shared" si="133"/>
        <v>0</v>
      </c>
      <c r="EQ69" s="4">
        <f t="shared" si="133"/>
        <v>0</v>
      </c>
      <c r="ER69" s="4">
        <f t="shared" si="133"/>
        <v>0</v>
      </c>
      <c r="ES69" s="4">
        <f t="shared" si="133"/>
        <v>0</v>
      </c>
      <c r="ET69" s="4">
        <f t="shared" si="133"/>
        <v>0</v>
      </c>
      <c r="EU69" s="4">
        <f t="shared" si="133"/>
        <v>0</v>
      </c>
      <c r="EV69" s="4">
        <f t="shared" si="133"/>
        <v>6426.8</v>
      </c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>
        <f>ROUND(SUMIF(AA24:AA67,"=73147422",FQ24:FQ67),2)</f>
        <v>0</v>
      </c>
      <c r="FQ69" s="4">
        <f>ROUND(SUMIF(AA24:AA67,"=73147422",FR24:FR67),2)</f>
        <v>0</v>
      </c>
      <c r="FR69" s="4">
        <f>ROUND(SUMIF(AA24:AA67,"=73147422",GL24:GL67),2)</f>
        <v>0</v>
      </c>
      <c r="FS69" s="4">
        <f>ROUND(SUMIF(AA24:AA67,"=73147422",GM24:GM67),2)</f>
        <v>18950.490000000002</v>
      </c>
      <c r="FT69" s="4">
        <f>ROUND(SUMIF(AA24:AA67,"=73147422",GN24:GN67),2)</f>
        <v>18950.490000000002</v>
      </c>
      <c r="FU69" s="4">
        <f>ROUND(SUMIF(AA24:AA67,"=73147422",GO24:GO67),2)</f>
        <v>0</v>
      </c>
      <c r="FV69" s="4">
        <f>ROUND(SUMIF(AA24:AA67,"=73147422",GP24:GP67),2)</f>
        <v>0</v>
      </c>
      <c r="FW69" s="4">
        <f>DU69-FP69</f>
        <v>0</v>
      </c>
      <c r="FX69" s="4">
        <f>DU69-FQ69</f>
        <v>0</v>
      </c>
      <c r="FY69" s="4">
        <f>FP69-FR69</f>
        <v>0</v>
      </c>
      <c r="FZ69" s="4">
        <f>DU69-FP69-FQ69+FR69</f>
        <v>0</v>
      </c>
      <c r="GA69" s="4">
        <f>FQ69-FR69</f>
        <v>0</v>
      </c>
      <c r="GB69" s="4">
        <f>ROUND(SUMIF(AA24:AA67,"=73147422",GX24:GX67),2)</f>
        <v>0</v>
      </c>
      <c r="GC69" s="4">
        <f>ROUND(SUMIF(AA24:AA67,"=73147422",GY24:GY67),2)</f>
        <v>0</v>
      </c>
      <c r="GD69" s="4">
        <f>ROUND(SUMIF(AA24:AA67,"=73147422",GZ24:GZ67),2)</f>
        <v>0</v>
      </c>
      <c r="GE69" s="4">
        <f>ROUND(SUMIF(AA24:AA67,"=73147422",HD24:HD67),2)</f>
        <v>6426.8</v>
      </c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>
        <v>0</v>
      </c>
    </row>
    <row r="71" spans="1:255">
      <c r="A71" s="5">
        <v>50</v>
      </c>
      <c r="B71" s="5">
        <v>0</v>
      </c>
      <c r="C71" s="5">
        <v>0</v>
      </c>
      <c r="D71" s="5">
        <v>1</v>
      </c>
      <c r="E71" s="5">
        <v>201</v>
      </c>
      <c r="F71" s="5">
        <f>ROUND(Source!O69,O71)</f>
        <v>4922.7700000000004</v>
      </c>
      <c r="G71" s="5" t="s">
        <v>111</v>
      </c>
      <c r="H71" s="5" t="s">
        <v>112</v>
      </c>
      <c r="I71" s="5"/>
      <c r="J71" s="5"/>
      <c r="K71" s="5">
        <v>201</v>
      </c>
      <c r="L71" s="5">
        <v>1</v>
      </c>
      <c r="M71" s="5">
        <v>3</v>
      </c>
      <c r="N71" s="5" t="s">
        <v>3</v>
      </c>
      <c r="O71" s="5">
        <v>2</v>
      </c>
      <c r="P71" s="5">
        <f>ROUND(Source!DG69,O71)</f>
        <v>4922.7700000000004</v>
      </c>
      <c r="Q71" s="5"/>
      <c r="R71" s="5"/>
      <c r="S71" s="5"/>
      <c r="T71" s="5"/>
      <c r="U71" s="5"/>
      <c r="V71" s="5"/>
      <c r="W71" s="5">
        <v>11349.57</v>
      </c>
      <c r="X71" s="5">
        <v>1</v>
      </c>
      <c r="Y71" s="5">
        <v>11349.57</v>
      </c>
      <c r="Z71" s="5">
        <v>11349.57</v>
      </c>
      <c r="AA71" s="5">
        <v>1</v>
      </c>
      <c r="AB71" s="5">
        <v>180511.09</v>
      </c>
    </row>
    <row r="72" spans="1:255">
      <c r="A72" s="5">
        <v>50</v>
      </c>
      <c r="B72" s="5">
        <v>0</v>
      </c>
      <c r="C72" s="5">
        <v>0</v>
      </c>
      <c r="D72" s="5">
        <v>1</v>
      </c>
      <c r="E72" s="5">
        <v>202</v>
      </c>
      <c r="F72" s="5">
        <f>ROUND(Source!P69,O72)</f>
        <v>0</v>
      </c>
      <c r="G72" s="5" t="s">
        <v>113</v>
      </c>
      <c r="H72" s="5" t="s">
        <v>114</v>
      </c>
      <c r="I72" s="5"/>
      <c r="J72" s="5"/>
      <c r="K72" s="5">
        <v>202</v>
      </c>
      <c r="L72" s="5">
        <v>2</v>
      </c>
      <c r="M72" s="5">
        <v>3</v>
      </c>
      <c r="N72" s="5" t="s">
        <v>3</v>
      </c>
      <c r="O72" s="5">
        <v>2</v>
      </c>
      <c r="P72" s="5">
        <f>ROUND(Source!DH69,O72)</f>
        <v>0</v>
      </c>
      <c r="Q72" s="5"/>
      <c r="R72" s="5"/>
      <c r="S72" s="5"/>
      <c r="T72" s="5"/>
      <c r="U72" s="5"/>
      <c r="V72" s="5"/>
      <c r="W72" s="5">
        <v>0</v>
      </c>
      <c r="X72" s="5">
        <v>1</v>
      </c>
      <c r="Y72" s="5">
        <v>0</v>
      </c>
      <c r="Z72" s="5">
        <v>0</v>
      </c>
      <c r="AA72" s="5">
        <v>1</v>
      </c>
      <c r="AB72" s="5">
        <v>0</v>
      </c>
    </row>
    <row r="73" spans="1:255">
      <c r="A73" s="5">
        <v>50</v>
      </c>
      <c r="B73" s="5">
        <v>0</v>
      </c>
      <c r="C73" s="5">
        <v>0</v>
      </c>
      <c r="D73" s="5">
        <v>1</v>
      </c>
      <c r="E73" s="5">
        <v>222</v>
      </c>
      <c r="F73" s="5">
        <f>ROUND(Source!AO69,O73)</f>
        <v>0</v>
      </c>
      <c r="G73" s="5" t="s">
        <v>115</v>
      </c>
      <c r="H73" s="5" t="s">
        <v>116</v>
      </c>
      <c r="I73" s="5"/>
      <c r="J73" s="5"/>
      <c r="K73" s="5">
        <v>222</v>
      </c>
      <c r="L73" s="5">
        <v>3</v>
      </c>
      <c r="M73" s="5">
        <v>3</v>
      </c>
      <c r="N73" s="5" t="s">
        <v>3</v>
      </c>
      <c r="O73" s="5">
        <v>2</v>
      </c>
      <c r="P73" s="5">
        <f>ROUND(Source!EG69,O73)</f>
        <v>0</v>
      </c>
      <c r="Q73" s="5"/>
      <c r="R73" s="5"/>
      <c r="S73" s="5"/>
      <c r="T73" s="5"/>
      <c r="U73" s="5"/>
      <c r="V73" s="5"/>
      <c r="W73" s="5">
        <v>0</v>
      </c>
      <c r="X73" s="5">
        <v>1</v>
      </c>
      <c r="Y73" s="5">
        <v>0</v>
      </c>
      <c r="Z73" s="5">
        <v>0</v>
      </c>
      <c r="AA73" s="5">
        <v>1</v>
      </c>
      <c r="AB73" s="5">
        <v>0</v>
      </c>
    </row>
    <row r="74" spans="1:255">
      <c r="A74" s="5">
        <v>50</v>
      </c>
      <c r="B74" s="5">
        <v>0</v>
      </c>
      <c r="C74" s="5">
        <v>0</v>
      </c>
      <c r="D74" s="5">
        <v>1</v>
      </c>
      <c r="E74" s="5">
        <v>225</v>
      </c>
      <c r="F74" s="5">
        <f>ROUND(Source!AV69,O74)</f>
        <v>0</v>
      </c>
      <c r="G74" s="5" t="s">
        <v>117</v>
      </c>
      <c r="H74" s="5" t="s">
        <v>118</v>
      </c>
      <c r="I74" s="5"/>
      <c r="J74" s="5"/>
      <c r="K74" s="5">
        <v>225</v>
      </c>
      <c r="L74" s="5">
        <v>4</v>
      </c>
      <c r="M74" s="5">
        <v>3</v>
      </c>
      <c r="N74" s="5" t="s">
        <v>3</v>
      </c>
      <c r="O74" s="5">
        <v>2</v>
      </c>
      <c r="P74" s="5">
        <f>ROUND(Source!EN69,O74)</f>
        <v>0</v>
      </c>
      <c r="Q74" s="5"/>
      <c r="R74" s="5"/>
      <c r="S74" s="5"/>
      <c r="T74" s="5"/>
      <c r="U74" s="5"/>
      <c r="V74" s="5"/>
      <c r="W74" s="5">
        <v>0</v>
      </c>
      <c r="X74" s="5">
        <v>1</v>
      </c>
      <c r="Y74" s="5">
        <v>0</v>
      </c>
      <c r="Z74" s="5">
        <v>0</v>
      </c>
      <c r="AA74" s="5">
        <v>1</v>
      </c>
      <c r="AB74" s="5">
        <v>0</v>
      </c>
    </row>
    <row r="75" spans="1:255">
      <c r="A75" s="5">
        <v>50</v>
      </c>
      <c r="B75" s="5">
        <v>0</v>
      </c>
      <c r="C75" s="5">
        <v>0</v>
      </c>
      <c r="D75" s="5">
        <v>1</v>
      </c>
      <c r="E75" s="5">
        <v>226</v>
      </c>
      <c r="F75" s="5">
        <f>ROUND(Source!AW69,O75)</f>
        <v>0</v>
      </c>
      <c r="G75" s="5" t="s">
        <v>119</v>
      </c>
      <c r="H75" s="5" t="s">
        <v>120</v>
      </c>
      <c r="I75" s="5"/>
      <c r="J75" s="5"/>
      <c r="K75" s="5">
        <v>226</v>
      </c>
      <c r="L75" s="5">
        <v>5</v>
      </c>
      <c r="M75" s="5">
        <v>3</v>
      </c>
      <c r="N75" s="5" t="s">
        <v>3</v>
      </c>
      <c r="O75" s="5">
        <v>2</v>
      </c>
      <c r="P75" s="5">
        <f>ROUND(Source!EO69,O75)</f>
        <v>0</v>
      </c>
      <c r="Q75" s="5"/>
      <c r="R75" s="5"/>
      <c r="S75" s="5"/>
      <c r="T75" s="5"/>
      <c r="U75" s="5"/>
      <c r="V75" s="5"/>
      <c r="W75" s="5">
        <v>0</v>
      </c>
      <c r="X75" s="5">
        <v>1</v>
      </c>
      <c r="Y75" s="5">
        <v>0</v>
      </c>
      <c r="Z75" s="5">
        <v>0</v>
      </c>
      <c r="AA75" s="5">
        <v>1</v>
      </c>
      <c r="AB75" s="5">
        <v>0</v>
      </c>
    </row>
    <row r="76" spans="1:255">
      <c r="A76" s="5">
        <v>50</v>
      </c>
      <c r="B76" s="5">
        <v>0</v>
      </c>
      <c r="C76" s="5">
        <v>0</v>
      </c>
      <c r="D76" s="5">
        <v>1</v>
      </c>
      <c r="E76" s="5">
        <v>227</v>
      </c>
      <c r="F76" s="5">
        <f>ROUND(Source!AX69,O76)</f>
        <v>0</v>
      </c>
      <c r="G76" s="5" t="s">
        <v>121</v>
      </c>
      <c r="H76" s="5" t="s">
        <v>122</v>
      </c>
      <c r="I76" s="5"/>
      <c r="J76" s="5"/>
      <c r="K76" s="5">
        <v>227</v>
      </c>
      <c r="L76" s="5">
        <v>6</v>
      </c>
      <c r="M76" s="5">
        <v>3</v>
      </c>
      <c r="N76" s="5" t="s">
        <v>3</v>
      </c>
      <c r="O76" s="5">
        <v>2</v>
      </c>
      <c r="P76" s="5">
        <f>ROUND(Source!EP69,O76)</f>
        <v>0</v>
      </c>
      <c r="Q76" s="5"/>
      <c r="R76" s="5"/>
      <c r="S76" s="5"/>
      <c r="T76" s="5"/>
      <c r="U76" s="5"/>
      <c r="V76" s="5"/>
      <c r="W76" s="5">
        <v>0</v>
      </c>
      <c r="X76" s="5">
        <v>1</v>
      </c>
      <c r="Y76" s="5">
        <v>0</v>
      </c>
      <c r="Z76" s="5">
        <v>0</v>
      </c>
      <c r="AA76" s="5">
        <v>1</v>
      </c>
      <c r="AB76" s="5">
        <v>0</v>
      </c>
    </row>
    <row r="77" spans="1:255">
      <c r="A77" s="5">
        <v>50</v>
      </c>
      <c r="B77" s="5">
        <v>0</v>
      </c>
      <c r="C77" s="5">
        <v>0</v>
      </c>
      <c r="D77" s="5">
        <v>1</v>
      </c>
      <c r="E77" s="5">
        <v>228</v>
      </c>
      <c r="F77" s="5">
        <f>ROUND(Source!AY69,O77)</f>
        <v>0</v>
      </c>
      <c r="G77" s="5" t="s">
        <v>123</v>
      </c>
      <c r="H77" s="5" t="s">
        <v>124</v>
      </c>
      <c r="I77" s="5"/>
      <c r="J77" s="5"/>
      <c r="K77" s="5">
        <v>228</v>
      </c>
      <c r="L77" s="5">
        <v>7</v>
      </c>
      <c r="M77" s="5">
        <v>3</v>
      </c>
      <c r="N77" s="5" t="s">
        <v>3</v>
      </c>
      <c r="O77" s="5">
        <v>2</v>
      </c>
      <c r="P77" s="5">
        <f>ROUND(Source!EQ69,O77)</f>
        <v>0</v>
      </c>
      <c r="Q77" s="5"/>
      <c r="R77" s="5"/>
      <c r="S77" s="5"/>
      <c r="T77" s="5"/>
      <c r="U77" s="5"/>
      <c r="V77" s="5"/>
      <c r="W77" s="5">
        <v>0</v>
      </c>
      <c r="X77" s="5">
        <v>1</v>
      </c>
      <c r="Y77" s="5">
        <v>0</v>
      </c>
      <c r="Z77" s="5">
        <v>0</v>
      </c>
      <c r="AA77" s="5">
        <v>1</v>
      </c>
      <c r="AB77" s="5">
        <v>0</v>
      </c>
    </row>
    <row r="78" spans="1:255">
      <c r="A78" s="5">
        <v>50</v>
      </c>
      <c r="B78" s="5">
        <v>0</v>
      </c>
      <c r="C78" s="5">
        <v>0</v>
      </c>
      <c r="D78" s="5">
        <v>1</v>
      </c>
      <c r="E78" s="5">
        <v>216</v>
      </c>
      <c r="F78" s="5">
        <f>ROUND(Source!AP69,O78)</f>
        <v>0</v>
      </c>
      <c r="G78" s="5" t="s">
        <v>125</v>
      </c>
      <c r="H78" s="5" t="s">
        <v>126</v>
      </c>
      <c r="I78" s="5"/>
      <c r="J78" s="5"/>
      <c r="K78" s="5">
        <v>216</v>
      </c>
      <c r="L78" s="5">
        <v>8</v>
      </c>
      <c r="M78" s="5">
        <v>3</v>
      </c>
      <c r="N78" s="5" t="s">
        <v>3</v>
      </c>
      <c r="O78" s="5">
        <v>2</v>
      </c>
      <c r="P78" s="5">
        <f>ROUND(Source!EH69,O78)</f>
        <v>0</v>
      </c>
      <c r="Q78" s="5"/>
      <c r="R78" s="5"/>
      <c r="S78" s="5"/>
      <c r="T78" s="5"/>
      <c r="U78" s="5"/>
      <c r="V78" s="5"/>
      <c r="W78" s="5">
        <v>0</v>
      </c>
      <c r="X78" s="5">
        <v>1</v>
      </c>
      <c r="Y78" s="5">
        <v>0</v>
      </c>
      <c r="Z78" s="5">
        <v>0</v>
      </c>
      <c r="AA78" s="5">
        <v>1</v>
      </c>
      <c r="AB78" s="5">
        <v>0</v>
      </c>
    </row>
    <row r="79" spans="1:255">
      <c r="A79" s="5">
        <v>50</v>
      </c>
      <c r="B79" s="5">
        <v>0</v>
      </c>
      <c r="C79" s="5">
        <v>0</v>
      </c>
      <c r="D79" s="5">
        <v>1</v>
      </c>
      <c r="E79" s="5">
        <v>223</v>
      </c>
      <c r="F79" s="5">
        <f>ROUND(Source!AQ69,O79)</f>
        <v>0</v>
      </c>
      <c r="G79" s="5" t="s">
        <v>127</v>
      </c>
      <c r="H79" s="5" t="s">
        <v>128</v>
      </c>
      <c r="I79" s="5"/>
      <c r="J79" s="5"/>
      <c r="K79" s="5">
        <v>223</v>
      </c>
      <c r="L79" s="5">
        <v>9</v>
      </c>
      <c r="M79" s="5">
        <v>3</v>
      </c>
      <c r="N79" s="5" t="s">
        <v>3</v>
      </c>
      <c r="O79" s="5">
        <v>2</v>
      </c>
      <c r="P79" s="5">
        <f>ROUND(Source!EI69,O79)</f>
        <v>0</v>
      </c>
      <c r="Q79" s="5"/>
      <c r="R79" s="5"/>
      <c r="S79" s="5"/>
      <c r="T79" s="5"/>
      <c r="U79" s="5"/>
      <c r="V79" s="5"/>
      <c r="W79" s="5">
        <v>0</v>
      </c>
      <c r="X79" s="5">
        <v>1</v>
      </c>
      <c r="Y79" s="5">
        <v>0</v>
      </c>
      <c r="Z79" s="5">
        <v>0</v>
      </c>
      <c r="AA79" s="5">
        <v>1</v>
      </c>
      <c r="AB79" s="5">
        <v>0</v>
      </c>
    </row>
    <row r="80" spans="1:255">
      <c r="A80" s="5">
        <v>50</v>
      </c>
      <c r="B80" s="5">
        <v>0</v>
      </c>
      <c r="C80" s="5">
        <v>0</v>
      </c>
      <c r="D80" s="5">
        <v>1</v>
      </c>
      <c r="E80" s="5">
        <v>229</v>
      </c>
      <c r="F80" s="5">
        <f>ROUND(Source!AZ69,O80)</f>
        <v>0</v>
      </c>
      <c r="G80" s="5" t="s">
        <v>129</v>
      </c>
      <c r="H80" s="5" t="s">
        <v>130</v>
      </c>
      <c r="I80" s="5"/>
      <c r="J80" s="5"/>
      <c r="K80" s="5">
        <v>229</v>
      </c>
      <c r="L80" s="5">
        <v>10</v>
      </c>
      <c r="M80" s="5">
        <v>3</v>
      </c>
      <c r="N80" s="5" t="s">
        <v>3</v>
      </c>
      <c r="O80" s="5">
        <v>2</v>
      </c>
      <c r="P80" s="5">
        <f>ROUND(Source!ER69,O80)</f>
        <v>0</v>
      </c>
      <c r="Q80" s="5"/>
      <c r="R80" s="5"/>
      <c r="S80" s="5"/>
      <c r="T80" s="5"/>
      <c r="U80" s="5"/>
      <c r="V80" s="5"/>
      <c r="W80" s="5">
        <v>0</v>
      </c>
      <c r="X80" s="5">
        <v>1</v>
      </c>
      <c r="Y80" s="5">
        <v>0</v>
      </c>
      <c r="Z80" s="5">
        <v>0</v>
      </c>
      <c r="AA80" s="5">
        <v>1</v>
      </c>
      <c r="AB80" s="5">
        <v>0</v>
      </c>
    </row>
    <row r="81" spans="1:28">
      <c r="A81" s="5">
        <v>50</v>
      </c>
      <c r="B81" s="5">
        <v>0</v>
      </c>
      <c r="C81" s="5">
        <v>0</v>
      </c>
      <c r="D81" s="5">
        <v>1</v>
      </c>
      <c r="E81" s="5">
        <v>203</v>
      </c>
      <c r="F81" s="5">
        <f>ROUND(Source!Q69,O81)</f>
        <v>0</v>
      </c>
      <c r="G81" s="5" t="s">
        <v>131</v>
      </c>
      <c r="H81" s="5" t="s">
        <v>132</v>
      </c>
      <c r="I81" s="5"/>
      <c r="J81" s="5"/>
      <c r="K81" s="5">
        <v>203</v>
      </c>
      <c r="L81" s="5">
        <v>11</v>
      </c>
      <c r="M81" s="5">
        <v>3</v>
      </c>
      <c r="N81" s="5" t="s">
        <v>3</v>
      </c>
      <c r="O81" s="5">
        <v>2</v>
      </c>
      <c r="P81" s="5">
        <f>ROUND(Source!DI69,O81)</f>
        <v>0</v>
      </c>
      <c r="Q81" s="5"/>
      <c r="R81" s="5"/>
      <c r="S81" s="5"/>
      <c r="T81" s="5"/>
      <c r="U81" s="5"/>
      <c r="V81" s="5"/>
      <c r="W81" s="5">
        <v>0</v>
      </c>
      <c r="X81" s="5">
        <v>1</v>
      </c>
      <c r="Y81" s="5">
        <v>0</v>
      </c>
      <c r="Z81" s="5">
        <v>0</v>
      </c>
      <c r="AA81" s="5">
        <v>1</v>
      </c>
      <c r="AB81" s="5">
        <v>0</v>
      </c>
    </row>
    <row r="82" spans="1:28">
      <c r="A82" s="5">
        <v>50</v>
      </c>
      <c r="B82" s="5">
        <v>0</v>
      </c>
      <c r="C82" s="5">
        <v>0</v>
      </c>
      <c r="D82" s="5">
        <v>1</v>
      </c>
      <c r="E82" s="5">
        <v>231</v>
      </c>
      <c r="F82" s="5">
        <f>ROUND(Source!BB69,O82)</f>
        <v>0</v>
      </c>
      <c r="G82" s="5" t="s">
        <v>133</v>
      </c>
      <c r="H82" s="5" t="s">
        <v>134</v>
      </c>
      <c r="I82" s="5"/>
      <c r="J82" s="5"/>
      <c r="K82" s="5">
        <v>231</v>
      </c>
      <c r="L82" s="5">
        <v>12</v>
      </c>
      <c r="M82" s="5">
        <v>3</v>
      </c>
      <c r="N82" s="5" t="s">
        <v>3</v>
      </c>
      <c r="O82" s="5">
        <v>2</v>
      </c>
      <c r="P82" s="5">
        <f>ROUND(Source!ET69,O82)</f>
        <v>0</v>
      </c>
      <c r="Q82" s="5"/>
      <c r="R82" s="5"/>
      <c r="S82" s="5"/>
      <c r="T82" s="5"/>
      <c r="U82" s="5"/>
      <c r="V82" s="5"/>
      <c r="W82" s="5">
        <v>0</v>
      </c>
      <c r="X82" s="5">
        <v>1</v>
      </c>
      <c r="Y82" s="5">
        <v>0</v>
      </c>
      <c r="Z82" s="5">
        <v>0</v>
      </c>
      <c r="AA82" s="5">
        <v>1</v>
      </c>
      <c r="AB82" s="5">
        <v>0</v>
      </c>
    </row>
    <row r="83" spans="1:28">
      <c r="A83" s="5">
        <v>50</v>
      </c>
      <c r="B83" s="5">
        <v>0</v>
      </c>
      <c r="C83" s="5">
        <v>0</v>
      </c>
      <c r="D83" s="5">
        <v>1</v>
      </c>
      <c r="E83" s="5">
        <v>204</v>
      </c>
      <c r="F83" s="5">
        <f>ROUND(Source!R69,O83)</f>
        <v>0</v>
      </c>
      <c r="G83" s="5" t="s">
        <v>135</v>
      </c>
      <c r="H83" s="5" t="s">
        <v>136</v>
      </c>
      <c r="I83" s="5"/>
      <c r="J83" s="5"/>
      <c r="K83" s="5">
        <v>204</v>
      </c>
      <c r="L83" s="5">
        <v>13</v>
      </c>
      <c r="M83" s="5">
        <v>3</v>
      </c>
      <c r="N83" s="5" t="s">
        <v>3</v>
      </c>
      <c r="O83" s="5">
        <v>2</v>
      </c>
      <c r="P83" s="5">
        <f>ROUND(Source!DJ69,O83)</f>
        <v>0</v>
      </c>
      <c r="Q83" s="5"/>
      <c r="R83" s="5"/>
      <c r="S83" s="5"/>
      <c r="T83" s="5"/>
      <c r="U83" s="5"/>
      <c r="V83" s="5"/>
      <c r="W83" s="5">
        <v>0</v>
      </c>
      <c r="X83" s="5">
        <v>1</v>
      </c>
      <c r="Y83" s="5">
        <v>0</v>
      </c>
      <c r="Z83" s="5">
        <v>0</v>
      </c>
      <c r="AA83" s="5">
        <v>1</v>
      </c>
      <c r="AB83" s="5">
        <v>0</v>
      </c>
    </row>
    <row r="84" spans="1:28">
      <c r="A84" s="5">
        <v>50</v>
      </c>
      <c r="B84" s="5">
        <v>0</v>
      </c>
      <c r="C84" s="5">
        <v>0</v>
      </c>
      <c r="D84" s="5">
        <v>1</v>
      </c>
      <c r="E84" s="5">
        <v>205</v>
      </c>
      <c r="F84" s="5">
        <f>ROUND(Source!S69,O84)</f>
        <v>4922.7700000000004</v>
      </c>
      <c r="G84" s="5" t="s">
        <v>137</v>
      </c>
      <c r="H84" s="5" t="s">
        <v>138</v>
      </c>
      <c r="I84" s="5"/>
      <c r="J84" s="5"/>
      <c r="K84" s="5">
        <v>205</v>
      </c>
      <c r="L84" s="5">
        <v>14</v>
      </c>
      <c r="M84" s="5">
        <v>3</v>
      </c>
      <c r="N84" s="5" t="s">
        <v>3</v>
      </c>
      <c r="O84" s="5">
        <v>2</v>
      </c>
      <c r="P84" s="5">
        <f>ROUND(Source!DK69,O84)</f>
        <v>4922.7700000000004</v>
      </c>
      <c r="Q84" s="5"/>
      <c r="R84" s="5"/>
      <c r="S84" s="5"/>
      <c r="T84" s="5"/>
      <c r="U84" s="5"/>
      <c r="V84" s="5"/>
      <c r="W84" s="5">
        <v>4922.7699999999995</v>
      </c>
      <c r="X84" s="5">
        <v>1</v>
      </c>
      <c r="Y84" s="5">
        <v>4922.7699999999995</v>
      </c>
      <c r="Z84" s="5">
        <v>4922.7699999999995</v>
      </c>
      <c r="AA84" s="5">
        <v>1</v>
      </c>
      <c r="AB84" s="5">
        <v>119327.95</v>
      </c>
    </row>
    <row r="85" spans="1:28">
      <c r="A85" s="5">
        <v>50</v>
      </c>
      <c r="B85" s="5">
        <v>0</v>
      </c>
      <c r="C85" s="5">
        <v>0</v>
      </c>
      <c r="D85" s="5">
        <v>1</v>
      </c>
      <c r="E85" s="5">
        <v>232</v>
      </c>
      <c r="F85" s="5">
        <f>ROUND(Source!BC69,O85)</f>
        <v>0</v>
      </c>
      <c r="G85" s="5" t="s">
        <v>139</v>
      </c>
      <c r="H85" s="5" t="s">
        <v>140</v>
      </c>
      <c r="I85" s="5"/>
      <c r="J85" s="5"/>
      <c r="K85" s="5">
        <v>232</v>
      </c>
      <c r="L85" s="5">
        <v>15</v>
      </c>
      <c r="M85" s="5">
        <v>3</v>
      </c>
      <c r="N85" s="5" t="s">
        <v>3</v>
      </c>
      <c r="O85" s="5">
        <v>2</v>
      </c>
      <c r="P85" s="5">
        <f>ROUND(Source!EU69,O85)</f>
        <v>0</v>
      </c>
      <c r="Q85" s="5"/>
      <c r="R85" s="5"/>
      <c r="S85" s="5"/>
      <c r="T85" s="5"/>
      <c r="U85" s="5"/>
      <c r="V85" s="5"/>
      <c r="W85" s="5">
        <v>0</v>
      </c>
      <c r="X85" s="5">
        <v>1</v>
      </c>
      <c r="Y85" s="5">
        <v>0</v>
      </c>
      <c r="Z85" s="5">
        <v>0</v>
      </c>
      <c r="AA85" s="5">
        <v>1</v>
      </c>
      <c r="AB85" s="5">
        <v>0</v>
      </c>
    </row>
    <row r="86" spans="1:28">
      <c r="A86" s="5">
        <v>50</v>
      </c>
      <c r="B86" s="5">
        <v>0</v>
      </c>
      <c r="C86" s="5">
        <v>0</v>
      </c>
      <c r="D86" s="5">
        <v>1</v>
      </c>
      <c r="E86" s="5">
        <v>214</v>
      </c>
      <c r="F86" s="5">
        <f>ROUND(Source!AS69,O86)</f>
        <v>18950.490000000002</v>
      </c>
      <c r="G86" s="5" t="s">
        <v>141</v>
      </c>
      <c r="H86" s="5" t="s">
        <v>142</v>
      </c>
      <c r="I86" s="5"/>
      <c r="J86" s="5"/>
      <c r="K86" s="5">
        <v>214</v>
      </c>
      <c r="L86" s="5">
        <v>16</v>
      </c>
      <c r="M86" s="5">
        <v>3</v>
      </c>
      <c r="N86" s="5" t="s">
        <v>3</v>
      </c>
      <c r="O86" s="5">
        <v>2</v>
      </c>
      <c r="P86" s="5">
        <f>ROUND(Source!EK69,O86)</f>
        <v>18950.490000000002</v>
      </c>
      <c r="Q86" s="5"/>
      <c r="R86" s="5"/>
      <c r="S86" s="5"/>
      <c r="T86" s="5"/>
      <c r="U86" s="5"/>
      <c r="V86" s="5"/>
      <c r="W86" s="5">
        <v>18950.490000000002</v>
      </c>
      <c r="X86" s="5">
        <v>1</v>
      </c>
      <c r="Y86" s="5">
        <v>18950.490000000002</v>
      </c>
      <c r="Z86" s="5">
        <v>18950.490000000002</v>
      </c>
      <c r="AA86" s="5">
        <v>1</v>
      </c>
      <c r="AB86" s="5">
        <v>364757.36000000004</v>
      </c>
    </row>
    <row r="87" spans="1:28">
      <c r="A87" s="5">
        <v>50</v>
      </c>
      <c r="B87" s="5">
        <v>0</v>
      </c>
      <c r="C87" s="5">
        <v>0</v>
      </c>
      <c r="D87" s="5">
        <v>1</v>
      </c>
      <c r="E87" s="5">
        <v>215</v>
      </c>
      <c r="F87" s="5">
        <f>ROUND(Source!AT69,O87)</f>
        <v>0</v>
      </c>
      <c r="G87" s="5" t="s">
        <v>143</v>
      </c>
      <c r="H87" s="5" t="s">
        <v>144</v>
      </c>
      <c r="I87" s="5"/>
      <c r="J87" s="5"/>
      <c r="K87" s="5">
        <v>215</v>
      </c>
      <c r="L87" s="5">
        <v>17</v>
      </c>
      <c r="M87" s="5">
        <v>3</v>
      </c>
      <c r="N87" s="5" t="s">
        <v>3</v>
      </c>
      <c r="O87" s="5">
        <v>2</v>
      </c>
      <c r="P87" s="5">
        <f>ROUND(Source!EL69,O87)</f>
        <v>0</v>
      </c>
      <c r="Q87" s="5"/>
      <c r="R87" s="5"/>
      <c r="S87" s="5"/>
      <c r="T87" s="5"/>
      <c r="U87" s="5"/>
      <c r="V87" s="5"/>
      <c r="W87" s="5">
        <v>0</v>
      </c>
      <c r="X87" s="5">
        <v>1</v>
      </c>
      <c r="Y87" s="5">
        <v>0</v>
      </c>
      <c r="Z87" s="5">
        <v>0</v>
      </c>
      <c r="AA87" s="5">
        <v>1</v>
      </c>
      <c r="AB87" s="5">
        <v>0</v>
      </c>
    </row>
    <row r="88" spans="1:28">
      <c r="A88" s="5">
        <v>50</v>
      </c>
      <c r="B88" s="5">
        <v>0</v>
      </c>
      <c r="C88" s="5">
        <v>0</v>
      </c>
      <c r="D88" s="5">
        <v>1</v>
      </c>
      <c r="E88" s="5">
        <v>217</v>
      </c>
      <c r="F88" s="5">
        <f>ROUND(Source!AU69,O88)</f>
        <v>0</v>
      </c>
      <c r="G88" s="5" t="s">
        <v>145</v>
      </c>
      <c r="H88" s="5" t="s">
        <v>146</v>
      </c>
      <c r="I88" s="5"/>
      <c r="J88" s="5"/>
      <c r="K88" s="5">
        <v>217</v>
      </c>
      <c r="L88" s="5">
        <v>18</v>
      </c>
      <c r="M88" s="5">
        <v>3</v>
      </c>
      <c r="N88" s="5" t="s">
        <v>3</v>
      </c>
      <c r="O88" s="5">
        <v>2</v>
      </c>
      <c r="P88" s="5">
        <f>ROUND(Source!EM69,O88)</f>
        <v>0</v>
      </c>
      <c r="Q88" s="5"/>
      <c r="R88" s="5"/>
      <c r="S88" s="5"/>
      <c r="T88" s="5"/>
      <c r="U88" s="5"/>
      <c r="V88" s="5"/>
      <c r="W88" s="5">
        <v>0</v>
      </c>
      <c r="X88" s="5">
        <v>1</v>
      </c>
      <c r="Y88" s="5">
        <v>0</v>
      </c>
      <c r="Z88" s="5">
        <v>0</v>
      </c>
      <c r="AA88" s="5">
        <v>1</v>
      </c>
      <c r="AB88" s="5">
        <v>0</v>
      </c>
    </row>
    <row r="89" spans="1:28">
      <c r="A89" s="5">
        <v>50</v>
      </c>
      <c r="B89" s="5">
        <v>0</v>
      </c>
      <c r="C89" s="5">
        <v>0</v>
      </c>
      <c r="D89" s="5">
        <v>1</v>
      </c>
      <c r="E89" s="5">
        <v>230</v>
      </c>
      <c r="F89" s="5">
        <f>ROUND(Source!BA69,O89)</f>
        <v>0</v>
      </c>
      <c r="G89" s="5" t="s">
        <v>147</v>
      </c>
      <c r="H89" s="5" t="s">
        <v>148</v>
      </c>
      <c r="I89" s="5"/>
      <c r="J89" s="5"/>
      <c r="K89" s="5">
        <v>230</v>
      </c>
      <c r="L89" s="5">
        <v>19</v>
      </c>
      <c r="M89" s="5">
        <v>3</v>
      </c>
      <c r="N89" s="5" t="s">
        <v>3</v>
      </c>
      <c r="O89" s="5">
        <v>2</v>
      </c>
      <c r="P89" s="5">
        <f>ROUND(Source!ES69,O89)</f>
        <v>0</v>
      </c>
      <c r="Q89" s="5"/>
      <c r="R89" s="5"/>
      <c r="S89" s="5"/>
      <c r="T89" s="5"/>
      <c r="U89" s="5"/>
      <c r="V89" s="5"/>
      <c r="W89" s="5">
        <v>0</v>
      </c>
      <c r="X89" s="5">
        <v>1</v>
      </c>
      <c r="Y89" s="5">
        <v>0</v>
      </c>
      <c r="Z89" s="5">
        <v>0</v>
      </c>
      <c r="AA89" s="5">
        <v>1</v>
      </c>
      <c r="AB89" s="5">
        <v>0</v>
      </c>
    </row>
    <row r="90" spans="1:28">
      <c r="A90" s="5">
        <v>50</v>
      </c>
      <c r="B90" s="5">
        <v>0</v>
      </c>
      <c r="C90" s="5">
        <v>0</v>
      </c>
      <c r="D90" s="5">
        <v>1</v>
      </c>
      <c r="E90" s="5">
        <v>206</v>
      </c>
      <c r="F90" s="5">
        <f>ROUND(Source!T69,O90)</f>
        <v>0</v>
      </c>
      <c r="G90" s="5" t="s">
        <v>149</v>
      </c>
      <c r="H90" s="5" t="s">
        <v>150</v>
      </c>
      <c r="I90" s="5"/>
      <c r="J90" s="5"/>
      <c r="K90" s="5">
        <v>206</v>
      </c>
      <c r="L90" s="5">
        <v>20</v>
      </c>
      <c r="M90" s="5">
        <v>3</v>
      </c>
      <c r="N90" s="5" t="s">
        <v>3</v>
      </c>
      <c r="O90" s="5">
        <v>2</v>
      </c>
      <c r="P90" s="5">
        <f>ROUND(Source!DL69,O90)</f>
        <v>0</v>
      </c>
      <c r="Q90" s="5"/>
      <c r="R90" s="5"/>
      <c r="S90" s="5"/>
      <c r="T90" s="5"/>
      <c r="U90" s="5"/>
      <c r="V90" s="5"/>
      <c r="W90" s="5">
        <v>0</v>
      </c>
      <c r="X90" s="5">
        <v>1</v>
      </c>
      <c r="Y90" s="5">
        <v>0</v>
      </c>
      <c r="Z90" s="5">
        <v>0</v>
      </c>
      <c r="AA90" s="5">
        <v>1</v>
      </c>
      <c r="AB90" s="5">
        <v>0</v>
      </c>
    </row>
    <row r="91" spans="1:28">
      <c r="A91" s="5">
        <v>50</v>
      </c>
      <c r="B91" s="5">
        <v>0</v>
      </c>
      <c r="C91" s="5">
        <v>0</v>
      </c>
      <c r="D91" s="5">
        <v>1</v>
      </c>
      <c r="E91" s="5">
        <v>207</v>
      </c>
      <c r="F91" s="5">
        <f>ROUND(Source!U69,O91)</f>
        <v>544.9</v>
      </c>
      <c r="G91" s="5" t="s">
        <v>151</v>
      </c>
      <c r="H91" s="5" t="s">
        <v>152</v>
      </c>
      <c r="I91" s="5"/>
      <c r="J91" s="5"/>
      <c r="K91" s="5">
        <v>207</v>
      </c>
      <c r="L91" s="5">
        <v>21</v>
      </c>
      <c r="M91" s="5">
        <v>3</v>
      </c>
      <c r="N91" s="5" t="s">
        <v>3</v>
      </c>
      <c r="O91" s="5">
        <v>2</v>
      </c>
      <c r="P91" s="5">
        <f>ROUND(Source!DM69,O91)</f>
        <v>544.9</v>
      </c>
      <c r="Q91" s="5"/>
      <c r="R91" s="5"/>
      <c r="S91" s="5"/>
      <c r="T91" s="5"/>
      <c r="U91" s="5"/>
      <c r="V91" s="5"/>
      <c r="W91" s="5">
        <v>544.90200000000004</v>
      </c>
      <c r="X91" s="5">
        <v>1</v>
      </c>
      <c r="Y91" s="5">
        <v>544.90200000000004</v>
      </c>
      <c r="Z91" s="5">
        <v>544.90200000000004</v>
      </c>
      <c r="AA91" s="5">
        <v>1</v>
      </c>
      <c r="AB91" s="5">
        <v>544.90200000000004</v>
      </c>
    </row>
    <row r="92" spans="1:28">
      <c r="A92" s="5">
        <v>50</v>
      </c>
      <c r="B92" s="5">
        <v>0</v>
      </c>
      <c r="C92" s="5">
        <v>0</v>
      </c>
      <c r="D92" s="5">
        <v>1</v>
      </c>
      <c r="E92" s="5">
        <v>208</v>
      </c>
      <c r="F92" s="5">
        <f>ROUND(Source!V69,O92)</f>
        <v>0</v>
      </c>
      <c r="G92" s="5" t="s">
        <v>153</v>
      </c>
      <c r="H92" s="5" t="s">
        <v>154</v>
      </c>
      <c r="I92" s="5"/>
      <c r="J92" s="5"/>
      <c r="K92" s="5">
        <v>208</v>
      </c>
      <c r="L92" s="5">
        <v>22</v>
      </c>
      <c r="M92" s="5">
        <v>3</v>
      </c>
      <c r="N92" s="5" t="s">
        <v>3</v>
      </c>
      <c r="O92" s="5">
        <v>2</v>
      </c>
      <c r="P92" s="5">
        <f>ROUND(Source!DN69,O92)</f>
        <v>0</v>
      </c>
      <c r="Q92" s="5"/>
      <c r="R92" s="5"/>
      <c r="S92" s="5"/>
      <c r="T92" s="5"/>
      <c r="U92" s="5"/>
      <c r="V92" s="5"/>
      <c r="W92" s="5">
        <v>0</v>
      </c>
      <c r="X92" s="5">
        <v>1</v>
      </c>
      <c r="Y92" s="5">
        <v>0</v>
      </c>
      <c r="Z92" s="5">
        <v>0</v>
      </c>
      <c r="AA92" s="5">
        <v>1</v>
      </c>
      <c r="AB92" s="5">
        <v>0</v>
      </c>
    </row>
    <row r="93" spans="1:28">
      <c r="A93" s="5">
        <v>50</v>
      </c>
      <c r="B93" s="5">
        <v>0</v>
      </c>
      <c r="C93" s="5">
        <v>0</v>
      </c>
      <c r="D93" s="5">
        <v>1</v>
      </c>
      <c r="E93" s="5">
        <v>209</v>
      </c>
      <c r="F93" s="5">
        <f>ROUND(Source!W69,O93)</f>
        <v>0</v>
      </c>
      <c r="G93" s="5" t="s">
        <v>155</v>
      </c>
      <c r="H93" s="5" t="s">
        <v>156</v>
      </c>
      <c r="I93" s="5"/>
      <c r="J93" s="5"/>
      <c r="K93" s="5">
        <v>209</v>
      </c>
      <c r="L93" s="5">
        <v>23</v>
      </c>
      <c r="M93" s="5">
        <v>3</v>
      </c>
      <c r="N93" s="5" t="s">
        <v>3</v>
      </c>
      <c r="O93" s="5">
        <v>2</v>
      </c>
      <c r="P93" s="5">
        <f>ROUND(Source!DO69,O93)</f>
        <v>0</v>
      </c>
      <c r="Q93" s="5"/>
      <c r="R93" s="5"/>
      <c r="S93" s="5"/>
      <c r="T93" s="5"/>
      <c r="U93" s="5"/>
      <c r="V93" s="5"/>
      <c r="W93" s="5">
        <v>0</v>
      </c>
      <c r="X93" s="5">
        <v>1</v>
      </c>
      <c r="Y93" s="5">
        <v>0</v>
      </c>
      <c r="Z93" s="5">
        <v>0</v>
      </c>
      <c r="AA93" s="5">
        <v>1</v>
      </c>
      <c r="AB93" s="5">
        <v>0</v>
      </c>
    </row>
    <row r="94" spans="1:28">
      <c r="A94" s="5">
        <v>50</v>
      </c>
      <c r="B94" s="5">
        <v>0</v>
      </c>
      <c r="C94" s="5">
        <v>0</v>
      </c>
      <c r="D94" s="5">
        <v>1</v>
      </c>
      <c r="E94" s="5">
        <v>233</v>
      </c>
      <c r="F94" s="5">
        <f>ROUND(Source!BD69,O94)</f>
        <v>6426.8</v>
      </c>
      <c r="G94" s="5" t="s">
        <v>157</v>
      </c>
      <c r="H94" s="5" t="s">
        <v>158</v>
      </c>
      <c r="I94" s="5"/>
      <c r="J94" s="5"/>
      <c r="K94" s="5">
        <v>233</v>
      </c>
      <c r="L94" s="5">
        <v>24</v>
      </c>
      <c r="M94" s="5">
        <v>3</v>
      </c>
      <c r="N94" s="5" t="s">
        <v>3</v>
      </c>
      <c r="O94" s="5">
        <v>2</v>
      </c>
      <c r="P94" s="5">
        <f>ROUND(Source!EV69,O94)</f>
        <v>6426.8</v>
      </c>
      <c r="Q94" s="5"/>
      <c r="R94" s="5"/>
      <c r="S94" s="5"/>
      <c r="T94" s="5"/>
      <c r="U94" s="5"/>
      <c r="V94" s="5"/>
      <c r="W94" s="5">
        <v>6426.8</v>
      </c>
      <c r="X94" s="5">
        <v>1</v>
      </c>
      <c r="Y94" s="5">
        <v>6426.8</v>
      </c>
      <c r="Z94" s="5">
        <v>6426.8</v>
      </c>
      <c r="AA94" s="5">
        <v>1</v>
      </c>
      <c r="AB94" s="5">
        <v>61183.14</v>
      </c>
    </row>
    <row r="95" spans="1:28">
      <c r="A95" s="5">
        <v>50</v>
      </c>
      <c r="B95" s="5">
        <v>0</v>
      </c>
      <c r="C95" s="5">
        <v>0</v>
      </c>
      <c r="D95" s="5">
        <v>1</v>
      </c>
      <c r="E95" s="5">
        <v>210</v>
      </c>
      <c r="F95" s="5">
        <f>ROUND(Source!X69,O95)</f>
        <v>4981.92</v>
      </c>
      <c r="G95" s="5" t="s">
        <v>159</v>
      </c>
      <c r="H95" s="5" t="s">
        <v>160</v>
      </c>
      <c r="I95" s="5"/>
      <c r="J95" s="5"/>
      <c r="K95" s="5">
        <v>210</v>
      </c>
      <c r="L95" s="5">
        <v>25</v>
      </c>
      <c r="M95" s="5">
        <v>3</v>
      </c>
      <c r="N95" s="5" t="s">
        <v>3</v>
      </c>
      <c r="O95" s="5">
        <v>2</v>
      </c>
      <c r="P95" s="5">
        <f>ROUND(Source!DP69,O95)</f>
        <v>4981.92</v>
      </c>
      <c r="Q95" s="5"/>
      <c r="R95" s="5"/>
      <c r="S95" s="5"/>
      <c r="T95" s="5"/>
      <c r="U95" s="5"/>
      <c r="V95" s="5"/>
      <c r="W95" s="5">
        <v>4981.92</v>
      </c>
      <c r="X95" s="5">
        <v>1</v>
      </c>
      <c r="Y95" s="5">
        <v>4981.92</v>
      </c>
      <c r="Z95" s="5">
        <v>4981.92</v>
      </c>
      <c r="AA95" s="5">
        <v>1</v>
      </c>
      <c r="AB95" s="5">
        <v>120761.84000000001</v>
      </c>
    </row>
    <row r="96" spans="1:28">
      <c r="A96" s="5">
        <v>50</v>
      </c>
      <c r="B96" s="5">
        <v>0</v>
      </c>
      <c r="C96" s="5">
        <v>0</v>
      </c>
      <c r="D96" s="5">
        <v>1</v>
      </c>
      <c r="E96" s="5">
        <v>211</v>
      </c>
      <c r="F96" s="5">
        <f>ROUND(Source!Y69,O96)</f>
        <v>2619</v>
      </c>
      <c r="G96" s="5" t="s">
        <v>161</v>
      </c>
      <c r="H96" s="5" t="s">
        <v>162</v>
      </c>
      <c r="I96" s="5"/>
      <c r="J96" s="5"/>
      <c r="K96" s="5">
        <v>211</v>
      </c>
      <c r="L96" s="5">
        <v>26</v>
      </c>
      <c r="M96" s="5">
        <v>3</v>
      </c>
      <c r="N96" s="5" t="s">
        <v>3</v>
      </c>
      <c r="O96" s="5">
        <v>2</v>
      </c>
      <c r="P96" s="5">
        <f>ROUND(Source!DQ69,O96)</f>
        <v>2619</v>
      </c>
      <c r="Q96" s="5"/>
      <c r="R96" s="5"/>
      <c r="S96" s="5"/>
      <c r="T96" s="5"/>
      <c r="U96" s="5"/>
      <c r="V96" s="5"/>
      <c r="W96" s="5">
        <v>2619</v>
      </c>
      <c r="X96" s="5">
        <v>1</v>
      </c>
      <c r="Y96" s="5">
        <v>2619</v>
      </c>
      <c r="Z96" s="5">
        <v>2619</v>
      </c>
      <c r="AA96" s="5">
        <v>1</v>
      </c>
      <c r="AB96" s="5">
        <v>63484.43</v>
      </c>
    </row>
    <row r="97" spans="1:206">
      <c r="A97" s="5">
        <v>50</v>
      </c>
      <c r="B97" s="5">
        <v>0</v>
      </c>
      <c r="C97" s="5">
        <v>0</v>
      </c>
      <c r="D97" s="5">
        <v>1</v>
      </c>
      <c r="E97" s="5">
        <v>224</v>
      </c>
      <c r="F97" s="5">
        <f>ROUND(Source!AR69,O97)</f>
        <v>18950.490000000002</v>
      </c>
      <c r="G97" s="5" t="s">
        <v>163</v>
      </c>
      <c r="H97" s="5" t="s">
        <v>164</v>
      </c>
      <c r="I97" s="5"/>
      <c r="J97" s="5"/>
      <c r="K97" s="5">
        <v>224</v>
      </c>
      <c r="L97" s="5">
        <v>27</v>
      </c>
      <c r="M97" s="5">
        <v>3</v>
      </c>
      <c r="N97" s="5" t="s">
        <v>3</v>
      </c>
      <c r="O97" s="5">
        <v>2</v>
      </c>
      <c r="P97" s="5">
        <f>ROUND(Source!EJ69,O97)</f>
        <v>18950.490000000002</v>
      </c>
      <c r="Q97" s="5"/>
      <c r="R97" s="5"/>
      <c r="S97" s="5"/>
      <c r="T97" s="5"/>
      <c r="U97" s="5"/>
      <c r="V97" s="5"/>
      <c r="W97" s="5">
        <v>18950.489999999998</v>
      </c>
      <c r="X97" s="5">
        <v>1</v>
      </c>
      <c r="Y97" s="5">
        <v>18950.489999999998</v>
      </c>
      <c r="Z97" s="5">
        <v>18950.489999999998</v>
      </c>
      <c r="AA97" s="5">
        <v>1</v>
      </c>
      <c r="AB97" s="5">
        <v>364757.36</v>
      </c>
    </row>
    <row r="98" spans="1:206">
      <c r="A98" s="5">
        <v>50</v>
      </c>
      <c r="B98" s="5">
        <v>1</v>
      </c>
      <c r="C98" s="5">
        <v>0</v>
      </c>
      <c r="D98" s="5">
        <v>2</v>
      </c>
      <c r="E98" s="5">
        <v>0</v>
      </c>
      <c r="F98" s="5">
        <f>ROUND(F86+F87,O98)</f>
        <v>18950.490000000002</v>
      </c>
      <c r="G98" s="5" t="s">
        <v>165</v>
      </c>
      <c r="H98" s="5" t="s">
        <v>166</v>
      </c>
      <c r="I98" s="5"/>
      <c r="J98" s="5"/>
      <c r="K98" s="5">
        <v>212</v>
      </c>
      <c r="L98" s="5">
        <v>31</v>
      </c>
      <c r="M98" s="5">
        <v>0</v>
      </c>
      <c r="N98" s="5" t="s">
        <v>3</v>
      </c>
      <c r="O98" s="5">
        <v>2</v>
      </c>
      <c r="P98" s="5">
        <f>ROUND(P86+P87,O98)</f>
        <v>18950.490000000002</v>
      </c>
      <c r="Q98" s="5"/>
      <c r="R98" s="5"/>
      <c r="S98" s="5"/>
      <c r="T98" s="5"/>
      <c r="U98" s="5"/>
      <c r="V98" s="5"/>
      <c r="W98" s="5">
        <v>18950.490000000002</v>
      </c>
      <c r="X98" s="5">
        <v>1</v>
      </c>
      <c r="Y98" s="5">
        <v>18950.490000000002</v>
      </c>
      <c r="Z98" s="5">
        <v>18950.490000000002</v>
      </c>
      <c r="AA98" s="5">
        <v>1</v>
      </c>
      <c r="AB98" s="5">
        <v>364757.36</v>
      </c>
    </row>
    <row r="99" spans="1:206">
      <c r="A99" s="5">
        <v>50</v>
      </c>
      <c r="B99" s="5">
        <v>1</v>
      </c>
      <c r="C99" s="5">
        <v>0</v>
      </c>
      <c r="D99" s="5">
        <v>2</v>
      </c>
      <c r="E99" s="5">
        <v>0</v>
      </c>
      <c r="F99" s="5">
        <f>F98*0.2</f>
        <v>3790.0980000000004</v>
      </c>
      <c r="G99" s="5" t="s">
        <v>167</v>
      </c>
      <c r="H99" s="5" t="s">
        <v>168</v>
      </c>
      <c r="I99" s="5"/>
      <c r="J99" s="5"/>
      <c r="K99" s="5">
        <v>212</v>
      </c>
      <c r="L99" s="5">
        <v>35</v>
      </c>
      <c r="M99" s="5">
        <v>0</v>
      </c>
      <c r="N99" s="5" t="s">
        <v>3</v>
      </c>
      <c r="O99" s="5">
        <v>-1</v>
      </c>
      <c r="P99" s="5">
        <f>P98*0.2</f>
        <v>3790.0980000000004</v>
      </c>
      <c r="Q99" s="5"/>
      <c r="R99" s="5"/>
      <c r="S99" s="5"/>
      <c r="T99" s="5"/>
      <c r="U99" s="5"/>
      <c r="V99" s="5"/>
      <c r="W99" s="5">
        <v>3790.1</v>
      </c>
      <c r="X99" s="5">
        <v>1</v>
      </c>
      <c r="Y99" s="5">
        <v>3790.1</v>
      </c>
      <c r="Z99" s="5">
        <v>3790.1</v>
      </c>
      <c r="AA99" s="5">
        <v>1</v>
      </c>
      <c r="AB99" s="5">
        <v>72951.47</v>
      </c>
    </row>
    <row r="100" spans="1:206">
      <c r="A100" s="5">
        <v>50</v>
      </c>
      <c r="B100" s="5">
        <v>1</v>
      </c>
      <c r="C100" s="5">
        <v>0</v>
      </c>
      <c r="D100" s="5">
        <v>2</v>
      </c>
      <c r="E100" s="5">
        <v>213</v>
      </c>
      <c r="F100" s="5">
        <f>ROUND(F98+F99,O100)</f>
        <v>22740.59</v>
      </c>
      <c r="G100" s="5" t="s">
        <v>169</v>
      </c>
      <c r="H100" s="5" t="s">
        <v>170</v>
      </c>
      <c r="I100" s="5"/>
      <c r="J100" s="5"/>
      <c r="K100" s="5">
        <v>212</v>
      </c>
      <c r="L100" s="5">
        <v>36</v>
      </c>
      <c r="M100" s="5">
        <v>0</v>
      </c>
      <c r="N100" s="5" t="s">
        <v>3</v>
      </c>
      <c r="O100" s="5">
        <v>2</v>
      </c>
      <c r="P100" s="5">
        <f>ROUND(P98+P99,O100)</f>
        <v>22740.59</v>
      </c>
      <c r="Q100" s="5"/>
      <c r="R100" s="5"/>
      <c r="S100" s="5"/>
      <c r="T100" s="5"/>
      <c r="U100" s="5"/>
      <c r="V100" s="5"/>
      <c r="W100" s="5">
        <v>22740.59</v>
      </c>
      <c r="X100" s="5">
        <v>1</v>
      </c>
      <c r="Y100" s="5">
        <v>22740.59</v>
      </c>
      <c r="Z100" s="5">
        <v>22740.59</v>
      </c>
      <c r="AA100" s="5">
        <v>1</v>
      </c>
      <c r="AB100" s="5">
        <v>437708.83</v>
      </c>
    </row>
    <row r="102" spans="1:206">
      <c r="A102" s="3">
        <v>51</v>
      </c>
      <c r="B102" s="3">
        <f>B12</f>
        <v>161</v>
      </c>
      <c r="C102" s="3">
        <f>A12</f>
        <v>1</v>
      </c>
      <c r="D102" s="3">
        <f>ROW(A12)</f>
        <v>12</v>
      </c>
      <c r="E102" s="3"/>
      <c r="F102" s="3" t="str">
        <f>IF(F12&lt;&gt;"",F12,"")</f>
        <v/>
      </c>
      <c r="G102" s="3" t="str">
        <f>IF(G12&lt;&gt;"",G12,"")</f>
        <v xml:space="preserve"> Удаление деревьев на территории д.Чемоданово Юхновского района</v>
      </c>
      <c r="H102" s="3">
        <v>0</v>
      </c>
      <c r="I102" s="3"/>
      <c r="J102" s="3"/>
      <c r="K102" s="3"/>
      <c r="L102" s="3"/>
      <c r="M102" s="3"/>
      <c r="N102" s="3"/>
      <c r="O102" s="3">
        <f t="shared" ref="O102:T102" si="134">ROUND(O69,2)</f>
        <v>4922.7700000000004</v>
      </c>
      <c r="P102" s="3">
        <f t="shared" si="134"/>
        <v>0</v>
      </c>
      <c r="Q102" s="3">
        <f t="shared" si="134"/>
        <v>0</v>
      </c>
      <c r="R102" s="3">
        <f t="shared" si="134"/>
        <v>0</v>
      </c>
      <c r="S102" s="3">
        <f t="shared" si="134"/>
        <v>4922.7700000000004</v>
      </c>
      <c r="T102" s="3">
        <f t="shared" si="134"/>
        <v>0</v>
      </c>
      <c r="U102" s="3">
        <f>U69</f>
        <v>544.90200000000004</v>
      </c>
      <c r="V102" s="3">
        <f>V69</f>
        <v>0</v>
      </c>
      <c r="W102" s="3">
        <f>ROUND(W69,2)</f>
        <v>0</v>
      </c>
      <c r="X102" s="3">
        <f>ROUND(X69,2)</f>
        <v>4981.92</v>
      </c>
      <c r="Y102" s="3">
        <f>ROUND(Y69,2)</f>
        <v>2619</v>
      </c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>
        <f t="shared" ref="AO102:BD102" si="135">ROUND(AO69,2)</f>
        <v>0</v>
      </c>
      <c r="AP102" s="3">
        <f t="shared" si="135"/>
        <v>0</v>
      </c>
      <c r="AQ102" s="3">
        <f t="shared" si="135"/>
        <v>0</v>
      </c>
      <c r="AR102" s="3">
        <f t="shared" si="135"/>
        <v>18950.490000000002</v>
      </c>
      <c r="AS102" s="3">
        <f t="shared" si="135"/>
        <v>18950.490000000002</v>
      </c>
      <c r="AT102" s="3">
        <f t="shared" si="135"/>
        <v>0</v>
      </c>
      <c r="AU102" s="3">
        <f t="shared" si="135"/>
        <v>0</v>
      </c>
      <c r="AV102" s="3">
        <f t="shared" si="135"/>
        <v>0</v>
      </c>
      <c r="AW102" s="3">
        <f t="shared" si="135"/>
        <v>0</v>
      </c>
      <c r="AX102" s="3">
        <f t="shared" si="135"/>
        <v>0</v>
      </c>
      <c r="AY102" s="3">
        <f t="shared" si="135"/>
        <v>0</v>
      </c>
      <c r="AZ102" s="3">
        <f t="shared" si="135"/>
        <v>0</v>
      </c>
      <c r="BA102" s="3">
        <f t="shared" si="135"/>
        <v>0</v>
      </c>
      <c r="BB102" s="3">
        <f t="shared" si="135"/>
        <v>0</v>
      </c>
      <c r="BC102" s="3">
        <f t="shared" si="135"/>
        <v>0</v>
      </c>
      <c r="BD102" s="3">
        <f t="shared" si="135"/>
        <v>6426.8</v>
      </c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4">
        <f t="shared" ref="DG102:DL102" si="136">ROUND(DG69,2)</f>
        <v>4922.7700000000004</v>
      </c>
      <c r="DH102" s="4">
        <f t="shared" si="136"/>
        <v>0</v>
      </c>
      <c r="DI102" s="4">
        <f t="shared" si="136"/>
        <v>0</v>
      </c>
      <c r="DJ102" s="4">
        <f t="shared" si="136"/>
        <v>0</v>
      </c>
      <c r="DK102" s="4">
        <f t="shared" si="136"/>
        <v>4922.7700000000004</v>
      </c>
      <c r="DL102" s="4">
        <f t="shared" si="136"/>
        <v>0</v>
      </c>
      <c r="DM102" s="4">
        <f>DM69</f>
        <v>544.90200000000004</v>
      </c>
      <c r="DN102" s="4">
        <f>DN69</f>
        <v>0</v>
      </c>
      <c r="DO102" s="4">
        <f>ROUND(DO69,2)</f>
        <v>0</v>
      </c>
      <c r="DP102" s="4">
        <f>ROUND(DP69,2)</f>
        <v>4981.92</v>
      </c>
      <c r="DQ102" s="4">
        <f>ROUND(DQ69,2)</f>
        <v>2619</v>
      </c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>
        <f t="shared" ref="EG102:EV102" si="137">ROUND(EG69,2)</f>
        <v>0</v>
      </c>
      <c r="EH102" s="4">
        <f t="shared" si="137"/>
        <v>0</v>
      </c>
      <c r="EI102" s="4">
        <f t="shared" si="137"/>
        <v>0</v>
      </c>
      <c r="EJ102" s="4">
        <f t="shared" si="137"/>
        <v>18950.490000000002</v>
      </c>
      <c r="EK102" s="4">
        <f t="shared" si="137"/>
        <v>18950.490000000002</v>
      </c>
      <c r="EL102" s="4">
        <f t="shared" si="137"/>
        <v>0</v>
      </c>
      <c r="EM102" s="4">
        <f t="shared" si="137"/>
        <v>0</v>
      </c>
      <c r="EN102" s="4">
        <f t="shared" si="137"/>
        <v>0</v>
      </c>
      <c r="EO102" s="4">
        <f t="shared" si="137"/>
        <v>0</v>
      </c>
      <c r="EP102" s="4">
        <f t="shared" si="137"/>
        <v>0</v>
      </c>
      <c r="EQ102" s="4">
        <f t="shared" si="137"/>
        <v>0</v>
      </c>
      <c r="ER102" s="4">
        <f t="shared" si="137"/>
        <v>0</v>
      </c>
      <c r="ES102" s="4">
        <f t="shared" si="137"/>
        <v>0</v>
      </c>
      <c r="ET102" s="4">
        <f t="shared" si="137"/>
        <v>0</v>
      </c>
      <c r="EU102" s="4">
        <f t="shared" si="137"/>
        <v>0</v>
      </c>
      <c r="EV102" s="4">
        <f t="shared" si="137"/>
        <v>6426.8</v>
      </c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>
        <v>0</v>
      </c>
    </row>
    <row r="104" spans="1:206">
      <c r="A104" s="5">
        <v>50</v>
      </c>
      <c r="B104" s="5">
        <v>0</v>
      </c>
      <c r="C104" s="5">
        <v>0</v>
      </c>
      <c r="D104" s="5">
        <v>1</v>
      </c>
      <c r="E104" s="5">
        <v>201</v>
      </c>
      <c r="F104" s="5">
        <f>ROUND(Source!O102,O104)</f>
        <v>4922.7700000000004</v>
      </c>
      <c r="G104" s="5" t="s">
        <v>111</v>
      </c>
      <c r="H104" s="5" t="s">
        <v>112</v>
      </c>
      <c r="I104" s="5"/>
      <c r="J104" s="5"/>
      <c r="K104" s="5">
        <v>201</v>
      </c>
      <c r="L104" s="5">
        <v>1</v>
      </c>
      <c r="M104" s="5">
        <v>3</v>
      </c>
      <c r="N104" s="5" t="s">
        <v>3</v>
      </c>
      <c r="O104" s="5">
        <v>2</v>
      </c>
      <c r="P104" s="5">
        <f>ROUND(Source!DG102,O104)</f>
        <v>4922.7700000000004</v>
      </c>
      <c r="Q104" s="5"/>
      <c r="R104" s="5"/>
      <c r="S104" s="5"/>
      <c r="T104" s="5"/>
      <c r="U104" s="5"/>
      <c r="V104" s="5"/>
      <c r="W104" s="5">
        <v>11349.57</v>
      </c>
      <c r="X104" s="5">
        <v>1</v>
      </c>
      <c r="Y104" s="5">
        <v>11349.57</v>
      </c>
      <c r="Z104" s="5">
        <v>11349.57</v>
      </c>
      <c r="AA104" s="5">
        <v>1</v>
      </c>
      <c r="AB104" s="5">
        <v>180511.09</v>
      </c>
    </row>
    <row r="105" spans="1:206">
      <c r="A105" s="5">
        <v>50</v>
      </c>
      <c r="B105" s="5">
        <v>0</v>
      </c>
      <c r="C105" s="5">
        <v>0</v>
      </c>
      <c r="D105" s="5">
        <v>1</v>
      </c>
      <c r="E105" s="5">
        <v>202</v>
      </c>
      <c r="F105" s="5">
        <f>ROUND(Source!P102,O105)</f>
        <v>0</v>
      </c>
      <c r="G105" s="5" t="s">
        <v>113</v>
      </c>
      <c r="H105" s="5" t="s">
        <v>114</v>
      </c>
      <c r="I105" s="5"/>
      <c r="J105" s="5"/>
      <c r="K105" s="5">
        <v>202</v>
      </c>
      <c r="L105" s="5">
        <v>2</v>
      </c>
      <c r="M105" s="5">
        <v>3</v>
      </c>
      <c r="N105" s="5" t="s">
        <v>3</v>
      </c>
      <c r="O105" s="5">
        <v>2</v>
      </c>
      <c r="P105" s="5">
        <f>ROUND(Source!DH102,O105)</f>
        <v>0</v>
      </c>
      <c r="Q105" s="5"/>
      <c r="R105" s="5"/>
      <c r="S105" s="5"/>
      <c r="T105" s="5"/>
      <c r="U105" s="5"/>
      <c r="V105" s="5"/>
      <c r="W105" s="5">
        <v>0</v>
      </c>
      <c r="X105" s="5">
        <v>1</v>
      </c>
      <c r="Y105" s="5">
        <v>0</v>
      </c>
      <c r="Z105" s="5">
        <v>0</v>
      </c>
      <c r="AA105" s="5">
        <v>1</v>
      </c>
      <c r="AB105" s="5">
        <v>0</v>
      </c>
    </row>
    <row r="106" spans="1:206">
      <c r="A106" s="5">
        <v>50</v>
      </c>
      <c r="B106" s="5">
        <v>0</v>
      </c>
      <c r="C106" s="5">
        <v>0</v>
      </c>
      <c r="D106" s="5">
        <v>1</v>
      </c>
      <c r="E106" s="5">
        <v>222</v>
      </c>
      <c r="F106" s="5">
        <f>ROUND(Source!AO102,O106)</f>
        <v>0</v>
      </c>
      <c r="G106" s="5" t="s">
        <v>115</v>
      </c>
      <c r="H106" s="5" t="s">
        <v>116</v>
      </c>
      <c r="I106" s="5"/>
      <c r="J106" s="5"/>
      <c r="K106" s="5">
        <v>222</v>
      </c>
      <c r="L106" s="5">
        <v>3</v>
      </c>
      <c r="M106" s="5">
        <v>3</v>
      </c>
      <c r="N106" s="5" t="s">
        <v>3</v>
      </c>
      <c r="O106" s="5">
        <v>2</v>
      </c>
      <c r="P106" s="5">
        <f>ROUND(Source!EG102,O106)</f>
        <v>0</v>
      </c>
      <c r="Q106" s="5"/>
      <c r="R106" s="5"/>
      <c r="S106" s="5"/>
      <c r="T106" s="5"/>
      <c r="U106" s="5"/>
      <c r="V106" s="5"/>
      <c r="W106" s="5">
        <v>0</v>
      </c>
      <c r="X106" s="5">
        <v>1</v>
      </c>
      <c r="Y106" s="5">
        <v>0</v>
      </c>
      <c r="Z106" s="5">
        <v>0</v>
      </c>
      <c r="AA106" s="5">
        <v>1</v>
      </c>
      <c r="AB106" s="5">
        <v>0</v>
      </c>
    </row>
    <row r="107" spans="1:206">
      <c r="A107" s="5">
        <v>50</v>
      </c>
      <c r="B107" s="5">
        <v>0</v>
      </c>
      <c r="C107" s="5">
        <v>0</v>
      </c>
      <c r="D107" s="5">
        <v>1</v>
      </c>
      <c r="E107" s="5">
        <v>225</v>
      </c>
      <c r="F107" s="5">
        <f>ROUND(Source!AV102,O107)</f>
        <v>0</v>
      </c>
      <c r="G107" s="5" t="s">
        <v>117</v>
      </c>
      <c r="H107" s="5" t="s">
        <v>118</v>
      </c>
      <c r="I107" s="5"/>
      <c r="J107" s="5"/>
      <c r="K107" s="5">
        <v>225</v>
      </c>
      <c r="L107" s="5">
        <v>4</v>
      </c>
      <c r="M107" s="5">
        <v>3</v>
      </c>
      <c r="N107" s="5" t="s">
        <v>3</v>
      </c>
      <c r="O107" s="5">
        <v>2</v>
      </c>
      <c r="P107" s="5">
        <f>ROUND(Source!EN102,O107)</f>
        <v>0</v>
      </c>
      <c r="Q107" s="5"/>
      <c r="R107" s="5"/>
      <c r="S107" s="5"/>
      <c r="T107" s="5"/>
      <c r="U107" s="5"/>
      <c r="V107" s="5"/>
      <c r="W107" s="5">
        <v>0</v>
      </c>
      <c r="X107" s="5">
        <v>1</v>
      </c>
      <c r="Y107" s="5">
        <v>0</v>
      </c>
      <c r="Z107" s="5">
        <v>0</v>
      </c>
      <c r="AA107" s="5">
        <v>1</v>
      </c>
      <c r="AB107" s="5">
        <v>0</v>
      </c>
    </row>
    <row r="108" spans="1:206">
      <c r="A108" s="5">
        <v>50</v>
      </c>
      <c r="B108" s="5">
        <v>0</v>
      </c>
      <c r="C108" s="5">
        <v>0</v>
      </c>
      <c r="D108" s="5">
        <v>1</v>
      </c>
      <c r="E108" s="5">
        <v>226</v>
      </c>
      <c r="F108" s="5">
        <f>ROUND(Source!AW102,O108)</f>
        <v>0</v>
      </c>
      <c r="G108" s="5" t="s">
        <v>119</v>
      </c>
      <c r="H108" s="5" t="s">
        <v>120</v>
      </c>
      <c r="I108" s="5"/>
      <c r="J108" s="5"/>
      <c r="K108" s="5">
        <v>226</v>
      </c>
      <c r="L108" s="5">
        <v>5</v>
      </c>
      <c r="M108" s="5">
        <v>3</v>
      </c>
      <c r="N108" s="5" t="s">
        <v>3</v>
      </c>
      <c r="O108" s="5">
        <v>2</v>
      </c>
      <c r="P108" s="5">
        <f>ROUND(Source!EO102,O108)</f>
        <v>0</v>
      </c>
      <c r="Q108" s="5"/>
      <c r="R108" s="5"/>
      <c r="S108" s="5"/>
      <c r="T108" s="5"/>
      <c r="U108" s="5"/>
      <c r="V108" s="5"/>
      <c r="W108" s="5">
        <v>0</v>
      </c>
      <c r="X108" s="5">
        <v>1</v>
      </c>
      <c r="Y108" s="5">
        <v>0</v>
      </c>
      <c r="Z108" s="5">
        <v>0</v>
      </c>
      <c r="AA108" s="5">
        <v>1</v>
      </c>
      <c r="AB108" s="5">
        <v>0</v>
      </c>
    </row>
    <row r="109" spans="1:206">
      <c r="A109" s="5">
        <v>50</v>
      </c>
      <c r="B109" s="5">
        <v>0</v>
      </c>
      <c r="C109" s="5">
        <v>0</v>
      </c>
      <c r="D109" s="5">
        <v>1</v>
      </c>
      <c r="E109" s="5">
        <v>227</v>
      </c>
      <c r="F109" s="5">
        <f>ROUND(Source!AX102,O109)</f>
        <v>0</v>
      </c>
      <c r="G109" s="5" t="s">
        <v>121</v>
      </c>
      <c r="H109" s="5" t="s">
        <v>122</v>
      </c>
      <c r="I109" s="5"/>
      <c r="J109" s="5"/>
      <c r="K109" s="5">
        <v>227</v>
      </c>
      <c r="L109" s="5">
        <v>6</v>
      </c>
      <c r="M109" s="5">
        <v>3</v>
      </c>
      <c r="N109" s="5" t="s">
        <v>3</v>
      </c>
      <c r="O109" s="5">
        <v>2</v>
      </c>
      <c r="P109" s="5">
        <f>ROUND(Source!EP102,O109)</f>
        <v>0</v>
      </c>
      <c r="Q109" s="5"/>
      <c r="R109" s="5"/>
      <c r="S109" s="5"/>
      <c r="T109" s="5"/>
      <c r="U109" s="5"/>
      <c r="V109" s="5"/>
      <c r="W109" s="5">
        <v>0</v>
      </c>
      <c r="X109" s="5">
        <v>1</v>
      </c>
      <c r="Y109" s="5">
        <v>0</v>
      </c>
      <c r="Z109" s="5">
        <v>0</v>
      </c>
      <c r="AA109" s="5">
        <v>1</v>
      </c>
      <c r="AB109" s="5">
        <v>0</v>
      </c>
    </row>
    <row r="110" spans="1:206">
      <c r="A110" s="5">
        <v>50</v>
      </c>
      <c r="B110" s="5">
        <v>0</v>
      </c>
      <c r="C110" s="5">
        <v>0</v>
      </c>
      <c r="D110" s="5">
        <v>1</v>
      </c>
      <c r="E110" s="5">
        <v>228</v>
      </c>
      <c r="F110" s="5">
        <f>ROUND(Source!AY102,O110)</f>
        <v>0</v>
      </c>
      <c r="G110" s="5" t="s">
        <v>123</v>
      </c>
      <c r="H110" s="5" t="s">
        <v>124</v>
      </c>
      <c r="I110" s="5"/>
      <c r="J110" s="5"/>
      <c r="K110" s="5">
        <v>228</v>
      </c>
      <c r="L110" s="5">
        <v>7</v>
      </c>
      <c r="M110" s="5">
        <v>3</v>
      </c>
      <c r="N110" s="5" t="s">
        <v>3</v>
      </c>
      <c r="O110" s="5">
        <v>2</v>
      </c>
      <c r="P110" s="5">
        <f>ROUND(Source!EQ102,O110)</f>
        <v>0</v>
      </c>
      <c r="Q110" s="5"/>
      <c r="R110" s="5"/>
      <c r="S110" s="5"/>
      <c r="T110" s="5"/>
      <c r="U110" s="5"/>
      <c r="V110" s="5"/>
      <c r="W110" s="5">
        <v>0</v>
      </c>
      <c r="X110" s="5">
        <v>1</v>
      </c>
      <c r="Y110" s="5">
        <v>0</v>
      </c>
      <c r="Z110" s="5">
        <v>0</v>
      </c>
      <c r="AA110" s="5">
        <v>1</v>
      </c>
      <c r="AB110" s="5">
        <v>0</v>
      </c>
    </row>
    <row r="111" spans="1:206">
      <c r="A111" s="5">
        <v>50</v>
      </c>
      <c r="B111" s="5">
        <v>0</v>
      </c>
      <c r="C111" s="5">
        <v>0</v>
      </c>
      <c r="D111" s="5">
        <v>1</v>
      </c>
      <c r="E111" s="5">
        <v>216</v>
      </c>
      <c r="F111" s="5">
        <f>ROUND(Source!AP102,O111)</f>
        <v>0</v>
      </c>
      <c r="G111" s="5" t="s">
        <v>125</v>
      </c>
      <c r="H111" s="5" t="s">
        <v>126</v>
      </c>
      <c r="I111" s="5"/>
      <c r="J111" s="5"/>
      <c r="K111" s="5">
        <v>216</v>
      </c>
      <c r="L111" s="5">
        <v>8</v>
      </c>
      <c r="M111" s="5">
        <v>3</v>
      </c>
      <c r="N111" s="5" t="s">
        <v>3</v>
      </c>
      <c r="O111" s="5">
        <v>2</v>
      </c>
      <c r="P111" s="5">
        <f>ROUND(Source!EH102,O111)</f>
        <v>0</v>
      </c>
      <c r="Q111" s="5"/>
      <c r="R111" s="5"/>
      <c r="S111" s="5"/>
      <c r="T111" s="5"/>
      <c r="U111" s="5"/>
      <c r="V111" s="5"/>
      <c r="W111" s="5">
        <v>0</v>
      </c>
      <c r="X111" s="5">
        <v>1</v>
      </c>
      <c r="Y111" s="5">
        <v>0</v>
      </c>
      <c r="Z111" s="5">
        <v>0</v>
      </c>
      <c r="AA111" s="5">
        <v>1</v>
      </c>
      <c r="AB111" s="5">
        <v>0</v>
      </c>
    </row>
    <row r="112" spans="1:206">
      <c r="A112" s="5">
        <v>50</v>
      </c>
      <c r="B112" s="5">
        <v>0</v>
      </c>
      <c r="C112" s="5">
        <v>0</v>
      </c>
      <c r="D112" s="5">
        <v>1</v>
      </c>
      <c r="E112" s="5">
        <v>223</v>
      </c>
      <c r="F112" s="5">
        <f>ROUND(Source!AQ102,O112)</f>
        <v>0</v>
      </c>
      <c r="G112" s="5" t="s">
        <v>127</v>
      </c>
      <c r="H112" s="5" t="s">
        <v>128</v>
      </c>
      <c r="I112" s="5"/>
      <c r="J112" s="5"/>
      <c r="K112" s="5">
        <v>223</v>
      </c>
      <c r="L112" s="5">
        <v>9</v>
      </c>
      <c r="M112" s="5">
        <v>3</v>
      </c>
      <c r="N112" s="5" t="s">
        <v>3</v>
      </c>
      <c r="O112" s="5">
        <v>2</v>
      </c>
      <c r="P112" s="5">
        <f>ROUND(Source!EI102,O112)</f>
        <v>0</v>
      </c>
      <c r="Q112" s="5"/>
      <c r="R112" s="5"/>
      <c r="S112" s="5"/>
      <c r="T112" s="5"/>
      <c r="U112" s="5"/>
      <c r="V112" s="5"/>
      <c r="W112" s="5">
        <v>0</v>
      </c>
      <c r="X112" s="5">
        <v>1</v>
      </c>
      <c r="Y112" s="5">
        <v>0</v>
      </c>
      <c r="Z112" s="5">
        <v>0</v>
      </c>
      <c r="AA112" s="5">
        <v>1</v>
      </c>
      <c r="AB112" s="5">
        <v>0</v>
      </c>
    </row>
    <row r="113" spans="1:28">
      <c r="A113" s="5">
        <v>50</v>
      </c>
      <c r="B113" s="5">
        <v>0</v>
      </c>
      <c r="C113" s="5">
        <v>0</v>
      </c>
      <c r="D113" s="5">
        <v>1</v>
      </c>
      <c r="E113" s="5">
        <v>229</v>
      </c>
      <c r="F113" s="5">
        <f>ROUND(Source!AZ102,O113)</f>
        <v>0</v>
      </c>
      <c r="G113" s="5" t="s">
        <v>129</v>
      </c>
      <c r="H113" s="5" t="s">
        <v>130</v>
      </c>
      <c r="I113" s="5"/>
      <c r="J113" s="5"/>
      <c r="K113" s="5">
        <v>229</v>
      </c>
      <c r="L113" s="5">
        <v>10</v>
      </c>
      <c r="M113" s="5">
        <v>3</v>
      </c>
      <c r="N113" s="5" t="s">
        <v>3</v>
      </c>
      <c r="O113" s="5">
        <v>2</v>
      </c>
      <c r="P113" s="5">
        <f>ROUND(Source!ER102,O113)</f>
        <v>0</v>
      </c>
      <c r="Q113" s="5"/>
      <c r="R113" s="5"/>
      <c r="S113" s="5"/>
      <c r="T113" s="5"/>
      <c r="U113" s="5"/>
      <c r="V113" s="5"/>
      <c r="W113" s="5">
        <v>0</v>
      </c>
      <c r="X113" s="5">
        <v>1</v>
      </c>
      <c r="Y113" s="5">
        <v>0</v>
      </c>
      <c r="Z113" s="5">
        <v>0</v>
      </c>
      <c r="AA113" s="5">
        <v>1</v>
      </c>
      <c r="AB113" s="5">
        <v>0</v>
      </c>
    </row>
    <row r="114" spans="1:28">
      <c r="A114" s="5">
        <v>50</v>
      </c>
      <c r="B114" s="5">
        <v>0</v>
      </c>
      <c r="C114" s="5">
        <v>0</v>
      </c>
      <c r="D114" s="5">
        <v>1</v>
      </c>
      <c r="E114" s="5">
        <v>203</v>
      </c>
      <c r="F114" s="5">
        <f>ROUND(Source!Q102,O114)</f>
        <v>0</v>
      </c>
      <c r="G114" s="5" t="s">
        <v>131</v>
      </c>
      <c r="H114" s="5" t="s">
        <v>132</v>
      </c>
      <c r="I114" s="5"/>
      <c r="J114" s="5"/>
      <c r="K114" s="5">
        <v>203</v>
      </c>
      <c r="L114" s="5">
        <v>11</v>
      </c>
      <c r="M114" s="5">
        <v>3</v>
      </c>
      <c r="N114" s="5" t="s">
        <v>3</v>
      </c>
      <c r="O114" s="5">
        <v>2</v>
      </c>
      <c r="P114" s="5">
        <f>ROUND(Source!DI102,O114)</f>
        <v>0</v>
      </c>
      <c r="Q114" s="5"/>
      <c r="R114" s="5"/>
      <c r="S114" s="5"/>
      <c r="T114" s="5"/>
      <c r="U114" s="5"/>
      <c r="V114" s="5"/>
      <c r="W114" s="5">
        <v>0</v>
      </c>
      <c r="X114" s="5">
        <v>1</v>
      </c>
      <c r="Y114" s="5">
        <v>0</v>
      </c>
      <c r="Z114" s="5">
        <v>0</v>
      </c>
      <c r="AA114" s="5">
        <v>1</v>
      </c>
      <c r="AB114" s="5">
        <v>0</v>
      </c>
    </row>
    <row r="115" spans="1:28">
      <c r="A115" s="5">
        <v>50</v>
      </c>
      <c r="B115" s="5">
        <v>0</v>
      </c>
      <c r="C115" s="5">
        <v>0</v>
      </c>
      <c r="D115" s="5">
        <v>1</v>
      </c>
      <c r="E115" s="5">
        <v>231</v>
      </c>
      <c r="F115" s="5">
        <f>ROUND(Source!BB102,O115)</f>
        <v>0</v>
      </c>
      <c r="G115" s="5" t="s">
        <v>133</v>
      </c>
      <c r="H115" s="5" t="s">
        <v>134</v>
      </c>
      <c r="I115" s="5"/>
      <c r="J115" s="5"/>
      <c r="K115" s="5">
        <v>231</v>
      </c>
      <c r="L115" s="5">
        <v>12</v>
      </c>
      <c r="M115" s="5">
        <v>3</v>
      </c>
      <c r="N115" s="5" t="s">
        <v>3</v>
      </c>
      <c r="O115" s="5">
        <v>2</v>
      </c>
      <c r="P115" s="5">
        <f>ROUND(Source!ET102,O115)</f>
        <v>0</v>
      </c>
      <c r="Q115" s="5"/>
      <c r="R115" s="5"/>
      <c r="S115" s="5"/>
      <c r="T115" s="5"/>
      <c r="U115" s="5"/>
      <c r="V115" s="5"/>
      <c r="W115" s="5">
        <v>0</v>
      </c>
      <c r="X115" s="5">
        <v>1</v>
      </c>
      <c r="Y115" s="5">
        <v>0</v>
      </c>
      <c r="Z115" s="5">
        <v>0</v>
      </c>
      <c r="AA115" s="5">
        <v>1</v>
      </c>
      <c r="AB115" s="5">
        <v>0</v>
      </c>
    </row>
    <row r="116" spans="1:28">
      <c r="A116" s="5">
        <v>50</v>
      </c>
      <c r="B116" s="5">
        <v>0</v>
      </c>
      <c r="C116" s="5">
        <v>0</v>
      </c>
      <c r="D116" s="5">
        <v>1</v>
      </c>
      <c r="E116" s="5">
        <v>204</v>
      </c>
      <c r="F116" s="5">
        <f>ROUND(Source!R102,O116)</f>
        <v>0</v>
      </c>
      <c r="G116" s="5" t="s">
        <v>135</v>
      </c>
      <c r="H116" s="5" t="s">
        <v>136</v>
      </c>
      <c r="I116" s="5"/>
      <c r="J116" s="5"/>
      <c r="K116" s="5">
        <v>204</v>
      </c>
      <c r="L116" s="5">
        <v>13</v>
      </c>
      <c r="M116" s="5">
        <v>3</v>
      </c>
      <c r="N116" s="5" t="s">
        <v>3</v>
      </c>
      <c r="O116" s="5">
        <v>2</v>
      </c>
      <c r="P116" s="5">
        <f>ROUND(Source!DJ102,O116)</f>
        <v>0</v>
      </c>
      <c r="Q116" s="5"/>
      <c r="R116" s="5"/>
      <c r="S116" s="5"/>
      <c r="T116" s="5"/>
      <c r="U116" s="5"/>
      <c r="V116" s="5"/>
      <c r="W116" s="5">
        <v>0</v>
      </c>
      <c r="X116" s="5">
        <v>1</v>
      </c>
      <c r="Y116" s="5">
        <v>0</v>
      </c>
      <c r="Z116" s="5">
        <v>0</v>
      </c>
      <c r="AA116" s="5">
        <v>1</v>
      </c>
      <c r="AB116" s="5">
        <v>0</v>
      </c>
    </row>
    <row r="117" spans="1:28">
      <c r="A117" s="5">
        <v>50</v>
      </c>
      <c r="B117" s="5">
        <v>0</v>
      </c>
      <c r="C117" s="5">
        <v>0</v>
      </c>
      <c r="D117" s="5">
        <v>1</v>
      </c>
      <c r="E117" s="5">
        <v>205</v>
      </c>
      <c r="F117" s="5">
        <f>ROUND(Source!S102,O117)</f>
        <v>4922.7700000000004</v>
      </c>
      <c r="G117" s="5" t="s">
        <v>137</v>
      </c>
      <c r="H117" s="5" t="s">
        <v>138</v>
      </c>
      <c r="I117" s="5"/>
      <c r="J117" s="5"/>
      <c r="K117" s="5">
        <v>205</v>
      </c>
      <c r="L117" s="5">
        <v>14</v>
      </c>
      <c r="M117" s="5">
        <v>3</v>
      </c>
      <c r="N117" s="5" t="s">
        <v>3</v>
      </c>
      <c r="O117" s="5">
        <v>2</v>
      </c>
      <c r="P117" s="5">
        <f>ROUND(Source!DK102,O117)</f>
        <v>4922.7700000000004</v>
      </c>
      <c r="Q117" s="5"/>
      <c r="R117" s="5"/>
      <c r="S117" s="5"/>
      <c r="T117" s="5"/>
      <c r="U117" s="5"/>
      <c r="V117" s="5"/>
      <c r="W117" s="5">
        <v>4922.7699999999995</v>
      </c>
      <c r="X117" s="5">
        <v>1</v>
      </c>
      <c r="Y117" s="5">
        <v>4922.7699999999995</v>
      </c>
      <c r="Z117" s="5">
        <v>4922.7699999999995</v>
      </c>
      <c r="AA117" s="5">
        <v>1</v>
      </c>
      <c r="AB117" s="5">
        <v>119327.95</v>
      </c>
    </row>
    <row r="118" spans="1:28">
      <c r="A118" s="5">
        <v>50</v>
      </c>
      <c r="B118" s="5">
        <v>0</v>
      </c>
      <c r="C118" s="5">
        <v>0</v>
      </c>
      <c r="D118" s="5">
        <v>1</v>
      </c>
      <c r="E118" s="5">
        <v>232</v>
      </c>
      <c r="F118" s="5">
        <f>ROUND(Source!BC102,O118)</f>
        <v>0</v>
      </c>
      <c r="G118" s="5" t="s">
        <v>139</v>
      </c>
      <c r="H118" s="5" t="s">
        <v>140</v>
      </c>
      <c r="I118" s="5"/>
      <c r="J118" s="5"/>
      <c r="K118" s="5">
        <v>232</v>
      </c>
      <c r="L118" s="5">
        <v>15</v>
      </c>
      <c r="M118" s="5">
        <v>3</v>
      </c>
      <c r="N118" s="5" t="s">
        <v>3</v>
      </c>
      <c r="O118" s="5">
        <v>2</v>
      </c>
      <c r="P118" s="5">
        <f>ROUND(Source!EU102,O118)</f>
        <v>0</v>
      </c>
      <c r="Q118" s="5"/>
      <c r="R118" s="5"/>
      <c r="S118" s="5"/>
      <c r="T118" s="5"/>
      <c r="U118" s="5"/>
      <c r="V118" s="5"/>
      <c r="W118" s="5">
        <v>0</v>
      </c>
      <c r="X118" s="5">
        <v>1</v>
      </c>
      <c r="Y118" s="5">
        <v>0</v>
      </c>
      <c r="Z118" s="5">
        <v>0</v>
      </c>
      <c r="AA118" s="5">
        <v>1</v>
      </c>
      <c r="AB118" s="5">
        <v>0</v>
      </c>
    </row>
    <row r="119" spans="1:28">
      <c r="A119" s="5">
        <v>50</v>
      </c>
      <c r="B119" s="5">
        <v>0</v>
      </c>
      <c r="C119" s="5">
        <v>0</v>
      </c>
      <c r="D119" s="5">
        <v>1</v>
      </c>
      <c r="E119" s="5">
        <v>214</v>
      </c>
      <c r="F119" s="5">
        <f>ROUND(Source!AS102,O119)</f>
        <v>18950.490000000002</v>
      </c>
      <c r="G119" s="5" t="s">
        <v>141</v>
      </c>
      <c r="H119" s="5" t="s">
        <v>142</v>
      </c>
      <c r="I119" s="5"/>
      <c r="J119" s="5"/>
      <c r="K119" s="5">
        <v>214</v>
      </c>
      <c r="L119" s="5">
        <v>16</v>
      </c>
      <c r="M119" s="5">
        <v>3</v>
      </c>
      <c r="N119" s="5" t="s">
        <v>3</v>
      </c>
      <c r="O119" s="5">
        <v>2</v>
      </c>
      <c r="P119" s="5">
        <f>ROUND(Source!EK102,O119)</f>
        <v>18950.490000000002</v>
      </c>
      <c r="Q119" s="5"/>
      <c r="R119" s="5"/>
      <c r="S119" s="5"/>
      <c r="T119" s="5"/>
      <c r="U119" s="5"/>
      <c r="V119" s="5"/>
      <c r="W119" s="5">
        <v>18950.490000000002</v>
      </c>
      <c r="X119" s="5">
        <v>1</v>
      </c>
      <c r="Y119" s="5">
        <v>18950.490000000002</v>
      </c>
      <c r="Z119" s="5">
        <v>18950.490000000002</v>
      </c>
      <c r="AA119" s="5">
        <v>1</v>
      </c>
      <c r="AB119" s="5">
        <v>364757.36000000004</v>
      </c>
    </row>
    <row r="120" spans="1:28">
      <c r="A120" s="5">
        <v>50</v>
      </c>
      <c r="B120" s="5">
        <v>0</v>
      </c>
      <c r="C120" s="5">
        <v>0</v>
      </c>
      <c r="D120" s="5">
        <v>1</v>
      </c>
      <c r="E120" s="5">
        <v>215</v>
      </c>
      <c r="F120" s="5">
        <f>ROUND(Source!AT102,O120)</f>
        <v>0</v>
      </c>
      <c r="G120" s="5" t="s">
        <v>143</v>
      </c>
      <c r="H120" s="5" t="s">
        <v>144</v>
      </c>
      <c r="I120" s="5"/>
      <c r="J120" s="5"/>
      <c r="K120" s="5">
        <v>215</v>
      </c>
      <c r="L120" s="5">
        <v>17</v>
      </c>
      <c r="M120" s="5">
        <v>3</v>
      </c>
      <c r="N120" s="5" t="s">
        <v>3</v>
      </c>
      <c r="O120" s="5">
        <v>2</v>
      </c>
      <c r="P120" s="5">
        <f>ROUND(Source!EL102,O120)</f>
        <v>0</v>
      </c>
      <c r="Q120" s="5"/>
      <c r="R120" s="5"/>
      <c r="S120" s="5"/>
      <c r="T120" s="5"/>
      <c r="U120" s="5"/>
      <c r="V120" s="5"/>
      <c r="W120" s="5">
        <v>0</v>
      </c>
      <c r="X120" s="5">
        <v>1</v>
      </c>
      <c r="Y120" s="5">
        <v>0</v>
      </c>
      <c r="Z120" s="5">
        <v>0</v>
      </c>
      <c r="AA120" s="5">
        <v>1</v>
      </c>
      <c r="AB120" s="5">
        <v>0</v>
      </c>
    </row>
    <row r="121" spans="1:28">
      <c r="A121" s="5">
        <v>50</v>
      </c>
      <c r="B121" s="5">
        <v>0</v>
      </c>
      <c r="C121" s="5">
        <v>0</v>
      </c>
      <c r="D121" s="5">
        <v>1</v>
      </c>
      <c r="E121" s="5">
        <v>217</v>
      </c>
      <c r="F121" s="5">
        <f>ROUND(Source!AU102,O121)</f>
        <v>0</v>
      </c>
      <c r="G121" s="5" t="s">
        <v>145</v>
      </c>
      <c r="H121" s="5" t="s">
        <v>146</v>
      </c>
      <c r="I121" s="5"/>
      <c r="J121" s="5"/>
      <c r="K121" s="5">
        <v>217</v>
      </c>
      <c r="L121" s="5">
        <v>18</v>
      </c>
      <c r="M121" s="5">
        <v>3</v>
      </c>
      <c r="N121" s="5" t="s">
        <v>3</v>
      </c>
      <c r="O121" s="5">
        <v>2</v>
      </c>
      <c r="P121" s="5">
        <f>ROUND(Source!EM102,O121)</f>
        <v>0</v>
      </c>
      <c r="Q121" s="5"/>
      <c r="R121" s="5"/>
      <c r="S121" s="5"/>
      <c r="T121" s="5"/>
      <c r="U121" s="5"/>
      <c r="V121" s="5"/>
      <c r="W121" s="5">
        <v>0</v>
      </c>
      <c r="X121" s="5">
        <v>1</v>
      </c>
      <c r="Y121" s="5">
        <v>0</v>
      </c>
      <c r="Z121" s="5">
        <v>0</v>
      </c>
      <c r="AA121" s="5">
        <v>1</v>
      </c>
      <c r="AB121" s="5">
        <v>0</v>
      </c>
    </row>
    <row r="122" spans="1:28">
      <c r="A122" s="5">
        <v>50</v>
      </c>
      <c r="B122" s="5">
        <v>0</v>
      </c>
      <c r="C122" s="5">
        <v>0</v>
      </c>
      <c r="D122" s="5">
        <v>1</v>
      </c>
      <c r="E122" s="5">
        <v>230</v>
      </c>
      <c r="F122" s="5">
        <f>ROUND(Source!BA102,O122)</f>
        <v>0</v>
      </c>
      <c r="G122" s="5" t="s">
        <v>147</v>
      </c>
      <c r="H122" s="5" t="s">
        <v>148</v>
      </c>
      <c r="I122" s="5"/>
      <c r="J122" s="5"/>
      <c r="K122" s="5">
        <v>230</v>
      </c>
      <c r="L122" s="5">
        <v>19</v>
      </c>
      <c r="M122" s="5">
        <v>3</v>
      </c>
      <c r="N122" s="5" t="s">
        <v>3</v>
      </c>
      <c r="O122" s="5">
        <v>2</v>
      </c>
      <c r="P122" s="5">
        <f>ROUND(Source!ES102,O122)</f>
        <v>0</v>
      </c>
      <c r="Q122" s="5"/>
      <c r="R122" s="5"/>
      <c r="S122" s="5"/>
      <c r="T122" s="5"/>
      <c r="U122" s="5"/>
      <c r="V122" s="5"/>
      <c r="W122" s="5">
        <v>0</v>
      </c>
      <c r="X122" s="5">
        <v>1</v>
      </c>
      <c r="Y122" s="5">
        <v>0</v>
      </c>
      <c r="Z122" s="5">
        <v>0</v>
      </c>
      <c r="AA122" s="5">
        <v>1</v>
      </c>
      <c r="AB122" s="5">
        <v>0</v>
      </c>
    </row>
    <row r="123" spans="1:28">
      <c r="A123" s="5">
        <v>50</v>
      </c>
      <c r="B123" s="5">
        <v>0</v>
      </c>
      <c r="C123" s="5">
        <v>0</v>
      </c>
      <c r="D123" s="5">
        <v>1</v>
      </c>
      <c r="E123" s="5">
        <v>206</v>
      </c>
      <c r="F123" s="5">
        <f>ROUND(Source!T102,O123)</f>
        <v>0</v>
      </c>
      <c r="G123" s="5" t="s">
        <v>149</v>
      </c>
      <c r="H123" s="5" t="s">
        <v>150</v>
      </c>
      <c r="I123" s="5"/>
      <c r="J123" s="5"/>
      <c r="K123" s="5">
        <v>206</v>
      </c>
      <c r="L123" s="5">
        <v>20</v>
      </c>
      <c r="M123" s="5">
        <v>3</v>
      </c>
      <c r="N123" s="5" t="s">
        <v>3</v>
      </c>
      <c r="O123" s="5">
        <v>2</v>
      </c>
      <c r="P123" s="5">
        <f>ROUND(Source!DL102,O123)</f>
        <v>0</v>
      </c>
      <c r="Q123" s="5"/>
      <c r="R123" s="5"/>
      <c r="S123" s="5"/>
      <c r="T123" s="5"/>
      <c r="U123" s="5"/>
      <c r="V123" s="5"/>
      <c r="W123" s="5">
        <v>0</v>
      </c>
      <c r="X123" s="5">
        <v>1</v>
      </c>
      <c r="Y123" s="5">
        <v>0</v>
      </c>
      <c r="Z123" s="5">
        <v>0</v>
      </c>
      <c r="AA123" s="5">
        <v>1</v>
      </c>
      <c r="AB123" s="5">
        <v>0</v>
      </c>
    </row>
    <row r="124" spans="1:28">
      <c r="A124" s="5">
        <v>50</v>
      </c>
      <c r="B124" s="5">
        <v>0</v>
      </c>
      <c r="C124" s="5">
        <v>0</v>
      </c>
      <c r="D124" s="5">
        <v>1</v>
      </c>
      <c r="E124" s="5">
        <v>207</v>
      </c>
      <c r="F124" s="5">
        <f>Source!U102</f>
        <v>544.90200000000004</v>
      </c>
      <c r="G124" s="5" t="s">
        <v>151</v>
      </c>
      <c r="H124" s="5" t="s">
        <v>152</v>
      </c>
      <c r="I124" s="5"/>
      <c r="J124" s="5"/>
      <c r="K124" s="5">
        <v>207</v>
      </c>
      <c r="L124" s="5">
        <v>21</v>
      </c>
      <c r="M124" s="5">
        <v>3</v>
      </c>
      <c r="N124" s="5" t="s">
        <v>3</v>
      </c>
      <c r="O124" s="5">
        <v>-1</v>
      </c>
      <c r="P124" s="5">
        <f>Source!DM102</f>
        <v>544.90200000000004</v>
      </c>
      <c r="Q124" s="5"/>
      <c r="R124" s="5"/>
      <c r="S124" s="5"/>
      <c r="T124" s="5"/>
      <c r="U124" s="5"/>
      <c r="V124" s="5"/>
      <c r="W124" s="5">
        <v>544.90200000000004</v>
      </c>
      <c r="X124" s="5">
        <v>1</v>
      </c>
      <c r="Y124" s="5">
        <v>544.90200000000004</v>
      </c>
      <c r="Z124" s="5">
        <v>544.90200000000004</v>
      </c>
      <c r="AA124" s="5">
        <v>1</v>
      </c>
      <c r="AB124" s="5">
        <v>544.90200000000004</v>
      </c>
    </row>
    <row r="125" spans="1:28">
      <c r="A125" s="5">
        <v>50</v>
      </c>
      <c r="B125" s="5">
        <v>0</v>
      </c>
      <c r="C125" s="5">
        <v>0</v>
      </c>
      <c r="D125" s="5">
        <v>1</v>
      </c>
      <c r="E125" s="5">
        <v>208</v>
      </c>
      <c r="F125" s="5">
        <f>Source!V102</f>
        <v>0</v>
      </c>
      <c r="G125" s="5" t="s">
        <v>153</v>
      </c>
      <c r="H125" s="5" t="s">
        <v>154</v>
      </c>
      <c r="I125" s="5"/>
      <c r="J125" s="5"/>
      <c r="K125" s="5">
        <v>208</v>
      </c>
      <c r="L125" s="5">
        <v>22</v>
      </c>
      <c r="M125" s="5">
        <v>3</v>
      </c>
      <c r="N125" s="5" t="s">
        <v>3</v>
      </c>
      <c r="O125" s="5">
        <v>-1</v>
      </c>
      <c r="P125" s="5">
        <f>Source!DN102</f>
        <v>0</v>
      </c>
      <c r="Q125" s="5"/>
      <c r="R125" s="5"/>
      <c r="S125" s="5"/>
      <c r="T125" s="5"/>
      <c r="U125" s="5"/>
      <c r="V125" s="5"/>
      <c r="W125" s="5">
        <v>0</v>
      </c>
      <c r="X125" s="5">
        <v>1</v>
      </c>
      <c r="Y125" s="5">
        <v>0</v>
      </c>
      <c r="Z125" s="5">
        <v>0</v>
      </c>
      <c r="AA125" s="5">
        <v>1</v>
      </c>
      <c r="AB125" s="5">
        <v>0</v>
      </c>
    </row>
    <row r="126" spans="1:28">
      <c r="A126" s="5">
        <v>50</v>
      </c>
      <c r="B126" s="5">
        <v>0</v>
      </c>
      <c r="C126" s="5">
        <v>0</v>
      </c>
      <c r="D126" s="5">
        <v>1</v>
      </c>
      <c r="E126" s="5">
        <v>209</v>
      </c>
      <c r="F126" s="5">
        <f>ROUND(Source!W102,O126)</f>
        <v>0</v>
      </c>
      <c r="G126" s="5" t="s">
        <v>155</v>
      </c>
      <c r="H126" s="5" t="s">
        <v>156</v>
      </c>
      <c r="I126" s="5"/>
      <c r="J126" s="5"/>
      <c r="K126" s="5">
        <v>209</v>
      </c>
      <c r="L126" s="5">
        <v>23</v>
      </c>
      <c r="M126" s="5">
        <v>3</v>
      </c>
      <c r="N126" s="5" t="s">
        <v>3</v>
      </c>
      <c r="O126" s="5">
        <v>2</v>
      </c>
      <c r="P126" s="5">
        <f>ROUND(Source!DO102,O126)</f>
        <v>0</v>
      </c>
      <c r="Q126" s="5"/>
      <c r="R126" s="5"/>
      <c r="S126" s="5"/>
      <c r="T126" s="5"/>
      <c r="U126" s="5"/>
      <c r="V126" s="5"/>
      <c r="W126" s="5">
        <v>0</v>
      </c>
      <c r="X126" s="5">
        <v>1</v>
      </c>
      <c r="Y126" s="5">
        <v>0</v>
      </c>
      <c r="Z126" s="5">
        <v>0</v>
      </c>
      <c r="AA126" s="5">
        <v>1</v>
      </c>
      <c r="AB126" s="5">
        <v>0</v>
      </c>
    </row>
    <row r="127" spans="1:28">
      <c r="A127" s="5">
        <v>50</v>
      </c>
      <c r="B127" s="5">
        <v>0</v>
      </c>
      <c r="C127" s="5">
        <v>0</v>
      </c>
      <c r="D127" s="5">
        <v>1</v>
      </c>
      <c r="E127" s="5">
        <v>233</v>
      </c>
      <c r="F127" s="5">
        <f>ROUND(Source!BD102,O127)</f>
        <v>6426.8</v>
      </c>
      <c r="G127" s="5" t="s">
        <v>157</v>
      </c>
      <c r="H127" s="5" t="s">
        <v>158</v>
      </c>
      <c r="I127" s="5"/>
      <c r="J127" s="5"/>
      <c r="K127" s="5">
        <v>233</v>
      </c>
      <c r="L127" s="5">
        <v>24</v>
      </c>
      <c r="M127" s="5">
        <v>3</v>
      </c>
      <c r="N127" s="5" t="s">
        <v>3</v>
      </c>
      <c r="O127" s="5">
        <v>2</v>
      </c>
      <c r="P127" s="5">
        <f>ROUND(Source!EV102,O127)</f>
        <v>6426.8</v>
      </c>
      <c r="Q127" s="5"/>
      <c r="R127" s="5"/>
      <c r="S127" s="5"/>
      <c r="T127" s="5"/>
      <c r="U127" s="5"/>
      <c r="V127" s="5"/>
      <c r="W127" s="5">
        <v>6426.8</v>
      </c>
      <c r="X127" s="5">
        <v>1</v>
      </c>
      <c r="Y127" s="5">
        <v>6426.8</v>
      </c>
      <c r="Z127" s="5">
        <v>6426.8</v>
      </c>
      <c r="AA127" s="5">
        <v>1</v>
      </c>
      <c r="AB127" s="5">
        <v>61183.14</v>
      </c>
    </row>
    <row r="128" spans="1:28">
      <c r="A128" s="5">
        <v>50</v>
      </c>
      <c r="B128" s="5">
        <v>0</v>
      </c>
      <c r="C128" s="5">
        <v>0</v>
      </c>
      <c r="D128" s="5">
        <v>1</v>
      </c>
      <c r="E128" s="5">
        <v>210</v>
      </c>
      <c r="F128" s="5">
        <f>ROUND(Source!X102,O128)</f>
        <v>4981.92</v>
      </c>
      <c r="G128" s="5" t="s">
        <v>159</v>
      </c>
      <c r="H128" s="5" t="s">
        <v>160</v>
      </c>
      <c r="I128" s="5"/>
      <c r="J128" s="5"/>
      <c r="K128" s="5">
        <v>210</v>
      </c>
      <c r="L128" s="5">
        <v>25</v>
      </c>
      <c r="M128" s="5">
        <v>3</v>
      </c>
      <c r="N128" s="5" t="s">
        <v>3</v>
      </c>
      <c r="O128" s="5">
        <v>2</v>
      </c>
      <c r="P128" s="5">
        <f>ROUND(Source!DP102,O128)</f>
        <v>4981.92</v>
      </c>
      <c r="Q128" s="5"/>
      <c r="R128" s="5"/>
      <c r="S128" s="5"/>
      <c r="T128" s="5"/>
      <c r="U128" s="5"/>
      <c r="V128" s="5"/>
      <c r="W128" s="5">
        <v>4981.92</v>
      </c>
      <c r="X128" s="5">
        <v>1</v>
      </c>
      <c r="Y128" s="5">
        <v>4981.92</v>
      </c>
      <c r="Z128" s="5">
        <v>4981.92</v>
      </c>
      <c r="AA128" s="5">
        <v>1</v>
      </c>
      <c r="AB128" s="5">
        <v>120761.84000000001</v>
      </c>
    </row>
    <row r="129" spans="1:28">
      <c r="A129" s="5">
        <v>50</v>
      </c>
      <c r="B129" s="5">
        <v>0</v>
      </c>
      <c r="C129" s="5">
        <v>0</v>
      </c>
      <c r="D129" s="5">
        <v>1</v>
      </c>
      <c r="E129" s="5">
        <v>211</v>
      </c>
      <c r="F129" s="5">
        <f>ROUND(Source!Y102,O129)</f>
        <v>2619</v>
      </c>
      <c r="G129" s="5" t="s">
        <v>161</v>
      </c>
      <c r="H129" s="5" t="s">
        <v>162</v>
      </c>
      <c r="I129" s="5"/>
      <c r="J129" s="5"/>
      <c r="K129" s="5">
        <v>211</v>
      </c>
      <c r="L129" s="5">
        <v>26</v>
      </c>
      <c r="M129" s="5">
        <v>3</v>
      </c>
      <c r="N129" s="5" t="s">
        <v>3</v>
      </c>
      <c r="O129" s="5">
        <v>2</v>
      </c>
      <c r="P129" s="5">
        <f>ROUND(Source!DQ102,O129)</f>
        <v>2619</v>
      </c>
      <c r="Q129" s="5"/>
      <c r="R129" s="5"/>
      <c r="S129" s="5"/>
      <c r="T129" s="5"/>
      <c r="U129" s="5"/>
      <c r="V129" s="5"/>
      <c r="W129" s="5">
        <v>2619</v>
      </c>
      <c r="X129" s="5">
        <v>1</v>
      </c>
      <c r="Y129" s="5">
        <v>2619</v>
      </c>
      <c r="Z129" s="5">
        <v>2619</v>
      </c>
      <c r="AA129" s="5">
        <v>1</v>
      </c>
      <c r="AB129" s="5">
        <v>63484.43</v>
      </c>
    </row>
    <row r="130" spans="1:28">
      <c r="A130" s="5">
        <v>50</v>
      </c>
      <c r="B130" s="5">
        <v>0</v>
      </c>
      <c r="C130" s="5">
        <v>0</v>
      </c>
      <c r="D130" s="5">
        <v>1</v>
      </c>
      <c r="E130" s="5">
        <v>224</v>
      </c>
      <c r="F130" s="5">
        <f>ROUND(Source!AR102,O130)</f>
        <v>18950.490000000002</v>
      </c>
      <c r="G130" s="5" t="s">
        <v>163</v>
      </c>
      <c r="H130" s="5" t="s">
        <v>164</v>
      </c>
      <c r="I130" s="5"/>
      <c r="J130" s="5"/>
      <c r="K130" s="5">
        <v>224</v>
      </c>
      <c r="L130" s="5">
        <v>27</v>
      </c>
      <c r="M130" s="5">
        <v>3</v>
      </c>
      <c r="N130" s="5" t="s">
        <v>3</v>
      </c>
      <c r="O130" s="5">
        <v>2</v>
      </c>
      <c r="P130" s="5">
        <f>ROUND(Source!EJ102,O130)</f>
        <v>18950.490000000002</v>
      </c>
      <c r="Q130" s="5"/>
      <c r="R130" s="5"/>
      <c r="S130" s="5"/>
      <c r="T130" s="5"/>
      <c r="U130" s="5"/>
      <c r="V130" s="5"/>
      <c r="W130" s="5">
        <v>18950.489999999998</v>
      </c>
      <c r="X130" s="5">
        <v>1</v>
      </c>
      <c r="Y130" s="5">
        <v>18950.489999999998</v>
      </c>
      <c r="Z130" s="5">
        <v>18950.489999999998</v>
      </c>
      <c r="AA130" s="5">
        <v>1</v>
      </c>
      <c r="AB130" s="5">
        <v>364757.36</v>
      </c>
    </row>
    <row r="131" spans="1:28">
      <c r="A131" s="5">
        <v>50</v>
      </c>
      <c r="B131" s="5">
        <v>0</v>
      </c>
      <c r="C131" s="5">
        <v>0</v>
      </c>
      <c r="D131" s="5">
        <v>2</v>
      </c>
      <c r="E131" s="5">
        <v>0</v>
      </c>
      <c r="F131" s="5">
        <f>ROUND((F128),O131)</f>
        <v>4981.92</v>
      </c>
      <c r="G131" s="5" t="s">
        <v>171</v>
      </c>
      <c r="H131" s="5" t="s">
        <v>160</v>
      </c>
      <c r="I131" s="5"/>
      <c r="J131" s="5"/>
      <c r="K131" s="5">
        <v>212</v>
      </c>
      <c r="L131" s="5">
        <v>28</v>
      </c>
      <c r="M131" s="5">
        <v>3</v>
      </c>
      <c r="N131" s="5" t="s">
        <v>3</v>
      </c>
      <c r="O131" s="5">
        <v>2</v>
      </c>
      <c r="P131" s="5">
        <f>ROUND((P128),O131)</f>
        <v>4981.92</v>
      </c>
      <c r="Q131" s="5"/>
      <c r="R131" s="5"/>
      <c r="S131" s="5"/>
      <c r="T131" s="5"/>
      <c r="U131" s="5"/>
      <c r="V131" s="5"/>
      <c r="W131" s="5">
        <v>4981.92</v>
      </c>
      <c r="X131" s="5">
        <v>1</v>
      </c>
      <c r="Y131" s="5">
        <v>4981.92</v>
      </c>
      <c r="Z131" s="5">
        <v>4981.92</v>
      </c>
      <c r="AA131" s="5">
        <v>1</v>
      </c>
      <c r="AB131" s="5">
        <v>120761.84</v>
      </c>
    </row>
    <row r="132" spans="1:28">
      <c r="A132" s="5">
        <v>50</v>
      </c>
      <c r="B132" s="5">
        <v>0</v>
      </c>
      <c r="C132" s="5">
        <v>0</v>
      </c>
      <c r="D132" s="5">
        <v>2</v>
      </c>
      <c r="E132" s="5">
        <v>0</v>
      </c>
      <c r="F132" s="5">
        <f>ROUND((F129),O132)</f>
        <v>2619</v>
      </c>
      <c r="G132" s="5" t="s">
        <v>172</v>
      </c>
      <c r="H132" s="5" t="s">
        <v>162</v>
      </c>
      <c r="I132" s="5"/>
      <c r="J132" s="5"/>
      <c r="K132" s="5">
        <v>212</v>
      </c>
      <c r="L132" s="5">
        <v>29</v>
      </c>
      <c r="M132" s="5">
        <v>3</v>
      </c>
      <c r="N132" s="5" t="s">
        <v>3</v>
      </c>
      <c r="O132" s="5">
        <v>2</v>
      </c>
      <c r="P132" s="5">
        <f>ROUND((P129),O132)</f>
        <v>2619</v>
      </c>
      <c r="Q132" s="5"/>
      <c r="R132" s="5"/>
      <c r="S132" s="5"/>
      <c r="T132" s="5"/>
      <c r="U132" s="5"/>
      <c r="V132" s="5"/>
      <c r="W132" s="5">
        <v>2619</v>
      </c>
      <c r="X132" s="5">
        <v>1</v>
      </c>
      <c r="Y132" s="5">
        <v>2619</v>
      </c>
      <c r="Z132" s="5">
        <v>2619</v>
      </c>
      <c r="AA132" s="5">
        <v>1</v>
      </c>
      <c r="AB132" s="5">
        <v>63484.43</v>
      </c>
    </row>
    <row r="133" spans="1:28">
      <c r="A133" s="5">
        <v>50</v>
      </c>
      <c r="B133" s="5">
        <v>0</v>
      </c>
      <c r="C133" s="5">
        <v>0</v>
      </c>
      <c r="D133" s="5">
        <v>2</v>
      </c>
      <c r="E133" s="5">
        <v>0</v>
      </c>
      <c r="F133" s="5">
        <f>ROUND(F132+F131+F104,O133)</f>
        <v>12523.69</v>
      </c>
      <c r="G133" s="5" t="s">
        <v>173</v>
      </c>
      <c r="H133" s="5" t="s">
        <v>174</v>
      </c>
      <c r="I133" s="5"/>
      <c r="J133" s="5"/>
      <c r="K133" s="5">
        <v>212</v>
      </c>
      <c r="L133" s="5">
        <v>30</v>
      </c>
      <c r="M133" s="5">
        <v>3</v>
      </c>
      <c r="N133" s="5" t="s">
        <v>3</v>
      </c>
      <c r="O133" s="5">
        <v>2</v>
      </c>
      <c r="P133" s="5">
        <f>ROUND(P132+P131+P104,O133)</f>
        <v>12523.69</v>
      </c>
      <c r="Q133" s="5"/>
      <c r="R133" s="5"/>
      <c r="S133" s="5"/>
      <c r="T133" s="5"/>
      <c r="U133" s="5"/>
      <c r="V133" s="5"/>
      <c r="W133" s="5">
        <v>18950.490000000002</v>
      </c>
      <c r="X133" s="5">
        <v>1</v>
      </c>
      <c r="Y133" s="5">
        <v>18950.490000000002</v>
      </c>
      <c r="Z133" s="5">
        <v>18950.490000000002</v>
      </c>
      <c r="AA133" s="5">
        <v>1</v>
      </c>
      <c r="AB133" s="5">
        <v>364757.36</v>
      </c>
    </row>
    <row r="134" spans="1:28">
      <c r="A134" s="5">
        <v>50</v>
      </c>
      <c r="B134" s="5">
        <v>1</v>
      </c>
      <c r="C134" s="5">
        <v>0</v>
      </c>
      <c r="D134" s="5">
        <v>2</v>
      </c>
      <c r="E134" s="5">
        <v>0</v>
      </c>
      <c r="F134" s="5">
        <f>ROUND((F106*6.4+F114*9.2+(F117+F128+F129)*23.28)*1,O134)</f>
        <v>291551.5</v>
      </c>
      <c r="G134" s="5" t="s">
        <v>165</v>
      </c>
      <c r="H134" s="5" t="s">
        <v>175</v>
      </c>
      <c r="I134" s="5"/>
      <c r="J134" s="5"/>
      <c r="K134" s="5">
        <v>212</v>
      </c>
      <c r="L134" s="5">
        <v>31</v>
      </c>
      <c r="M134" s="5">
        <v>0</v>
      </c>
      <c r="N134" s="5" t="s">
        <v>3</v>
      </c>
      <c r="O134" s="5">
        <v>2</v>
      </c>
      <c r="P134" s="5">
        <f>ROUND((P106*6.4+P114*9.2+(P117+P128+P129)*23.28)*1,O134)</f>
        <v>291551.5</v>
      </c>
      <c r="Q134" s="5"/>
      <c r="R134" s="5"/>
      <c r="S134" s="5"/>
      <c r="T134" s="5"/>
      <c r="U134" s="5"/>
      <c r="V134" s="5"/>
      <c r="W134" s="5">
        <v>291551.5</v>
      </c>
      <c r="X134" s="5">
        <v>1</v>
      </c>
      <c r="Y134" s="5">
        <v>291551.5</v>
      </c>
      <c r="Z134" s="5">
        <v>291551.5</v>
      </c>
      <c r="AA134" s="5">
        <v>1</v>
      </c>
      <c r="AB134" s="5">
        <v>7067207.8399999999</v>
      </c>
    </row>
    <row r="135" spans="1:28">
      <c r="A135" s="5">
        <v>50</v>
      </c>
      <c r="B135" s="5">
        <v>1</v>
      </c>
      <c r="C135" s="5">
        <v>0</v>
      </c>
      <c r="D135" s="5">
        <v>2</v>
      </c>
      <c r="E135" s="5">
        <v>0</v>
      </c>
      <c r="F135" s="5">
        <f>ROUND((F105*6.4+(F114-F116)*9.2+F131*0.1712*23.28+F132*0.15*23.28)*0.2,O135)</f>
        <v>5800.23</v>
      </c>
      <c r="G135" s="5" t="s">
        <v>167</v>
      </c>
      <c r="H135" s="5" t="s">
        <v>176</v>
      </c>
      <c r="I135" s="5"/>
      <c r="J135" s="5"/>
      <c r="K135" s="5">
        <v>212</v>
      </c>
      <c r="L135" s="5">
        <v>32</v>
      </c>
      <c r="M135" s="5">
        <v>0</v>
      </c>
      <c r="N135" s="5" t="s">
        <v>3</v>
      </c>
      <c r="O135" s="5">
        <v>2</v>
      </c>
      <c r="P135" s="5">
        <f>ROUND((P105*6.4+(P114-P116)*9.2+P131*0.1712*23.28+P132*0.15*23.28)*0.2,O135)</f>
        <v>5800.23</v>
      </c>
      <c r="Q135" s="5"/>
      <c r="R135" s="5"/>
      <c r="S135" s="5"/>
      <c r="T135" s="5"/>
      <c r="U135" s="5"/>
      <c r="V135" s="5"/>
      <c r="W135" s="5">
        <v>5800.23</v>
      </c>
      <c r="X135" s="5">
        <v>1</v>
      </c>
      <c r="Y135" s="5">
        <v>5800.23</v>
      </c>
      <c r="Z135" s="5">
        <v>5800.23</v>
      </c>
      <c r="AA135" s="5">
        <v>1</v>
      </c>
      <c r="AB135" s="5">
        <v>140597.66</v>
      </c>
    </row>
    <row r="136" spans="1:28">
      <c r="A136" s="5">
        <v>50</v>
      </c>
      <c r="B136" s="5">
        <v>1</v>
      </c>
      <c r="C136" s="5">
        <v>0</v>
      </c>
      <c r="D136" s="5">
        <v>2</v>
      </c>
      <c r="E136" s="5">
        <v>0</v>
      </c>
      <c r="F136" s="5">
        <f>ROUND(F134+F135,O136)</f>
        <v>297351.73</v>
      </c>
      <c r="G136" s="5" t="s">
        <v>169</v>
      </c>
      <c r="H136" s="5" t="s">
        <v>170</v>
      </c>
      <c r="I136" s="5"/>
      <c r="J136" s="5"/>
      <c r="K136" s="5">
        <v>212</v>
      </c>
      <c r="L136" s="5">
        <v>33</v>
      </c>
      <c r="M136" s="5">
        <v>0</v>
      </c>
      <c r="N136" s="5" t="s">
        <v>3</v>
      </c>
      <c r="O136" s="5">
        <v>2</v>
      </c>
      <c r="P136" s="5">
        <f>ROUND(P134+P135,O136)</f>
        <v>297351.73</v>
      </c>
      <c r="Q136" s="5"/>
      <c r="R136" s="5"/>
      <c r="S136" s="5"/>
      <c r="T136" s="5"/>
      <c r="U136" s="5"/>
      <c r="V136" s="5"/>
      <c r="W136" s="5">
        <v>297351.73</v>
      </c>
      <c r="X136" s="5">
        <v>1</v>
      </c>
      <c r="Y136" s="5">
        <v>297351.73</v>
      </c>
      <c r="Z136" s="5">
        <v>297351.73</v>
      </c>
      <c r="AA136" s="5">
        <v>1</v>
      </c>
      <c r="AB136" s="5">
        <v>7207805.5</v>
      </c>
    </row>
    <row r="137" spans="1:28">
      <c r="A137" s="5">
        <v>50</v>
      </c>
      <c r="B137" s="5">
        <v>1</v>
      </c>
      <c r="C137" s="5">
        <v>0</v>
      </c>
      <c r="D137" s="5">
        <v>2</v>
      </c>
      <c r="E137" s="5">
        <v>213</v>
      </c>
      <c r="F137" s="5">
        <f>ROUND(0,O137)</f>
        <v>0</v>
      </c>
      <c r="G137" s="5" t="s">
        <v>177</v>
      </c>
      <c r="H137" s="5" t="s">
        <v>178</v>
      </c>
      <c r="I137" s="5"/>
      <c r="J137" s="5"/>
      <c r="K137" s="5">
        <v>212</v>
      </c>
      <c r="L137" s="5">
        <v>34</v>
      </c>
      <c r="M137" s="5">
        <v>0</v>
      </c>
      <c r="N137" s="5" t="s">
        <v>3</v>
      </c>
      <c r="O137" s="5">
        <v>2</v>
      </c>
      <c r="P137" s="5">
        <f>ROUND(0,O137)</f>
        <v>0</v>
      </c>
      <c r="Q137" s="5"/>
      <c r="R137" s="5"/>
      <c r="S137" s="5"/>
      <c r="T137" s="5"/>
      <c r="U137" s="5"/>
      <c r="V137" s="5"/>
      <c r="W137" s="5">
        <v>0</v>
      </c>
      <c r="X137" s="5">
        <v>1</v>
      </c>
      <c r="Y137" s="5">
        <v>0</v>
      </c>
      <c r="Z137" s="5">
        <v>0</v>
      </c>
      <c r="AA137" s="5">
        <v>1</v>
      </c>
      <c r="AB137" s="5">
        <v>0</v>
      </c>
    </row>
    <row r="140" spans="1:28">
      <c r="A140">
        <v>70</v>
      </c>
      <c r="B140">
        <v>1</v>
      </c>
      <c r="D140">
        <v>1</v>
      </c>
      <c r="E140" t="s">
        <v>179</v>
      </c>
      <c r="F140" t="s">
        <v>180</v>
      </c>
      <c r="G140">
        <v>0</v>
      </c>
      <c r="H140">
        <v>0</v>
      </c>
      <c r="I140" t="s">
        <v>3</v>
      </c>
      <c r="J140">
        <v>1</v>
      </c>
      <c r="K140">
        <v>0</v>
      </c>
      <c r="L140" t="s">
        <v>3</v>
      </c>
      <c r="M140" t="s">
        <v>3</v>
      </c>
      <c r="N140">
        <v>0</v>
      </c>
      <c r="O140">
        <v>0</v>
      </c>
      <c r="P140" t="s">
        <v>181</v>
      </c>
    </row>
    <row r="141" spans="1:28">
      <c r="A141">
        <v>70</v>
      </c>
      <c r="B141">
        <v>1</v>
      </c>
      <c r="D141">
        <v>2</v>
      </c>
      <c r="E141" t="s">
        <v>182</v>
      </c>
      <c r="F141" t="s">
        <v>183</v>
      </c>
      <c r="G141">
        <v>0</v>
      </c>
      <c r="H141">
        <v>0</v>
      </c>
      <c r="I141" t="s">
        <v>3</v>
      </c>
      <c r="J141">
        <v>1</v>
      </c>
      <c r="K141">
        <v>0</v>
      </c>
      <c r="L141" t="s">
        <v>3</v>
      </c>
      <c r="M141" t="s">
        <v>3</v>
      </c>
      <c r="N141">
        <v>0</v>
      </c>
      <c r="O141">
        <v>0</v>
      </c>
      <c r="P141" t="s">
        <v>184</v>
      </c>
    </row>
    <row r="142" spans="1:28">
      <c r="A142">
        <v>70</v>
      </c>
      <c r="B142">
        <v>1</v>
      </c>
      <c r="D142">
        <v>3</v>
      </c>
      <c r="E142" t="s">
        <v>185</v>
      </c>
      <c r="F142" t="s">
        <v>186</v>
      </c>
      <c r="G142">
        <v>1</v>
      </c>
      <c r="H142">
        <v>0</v>
      </c>
      <c r="I142" t="s">
        <v>3</v>
      </c>
      <c r="J142">
        <v>1</v>
      </c>
      <c r="K142">
        <v>0</v>
      </c>
      <c r="L142" t="s">
        <v>3</v>
      </c>
      <c r="M142" t="s">
        <v>3</v>
      </c>
      <c r="N142">
        <v>0</v>
      </c>
      <c r="O142">
        <v>1</v>
      </c>
      <c r="P142" t="s">
        <v>187</v>
      </c>
    </row>
    <row r="143" spans="1:28">
      <c r="A143">
        <v>70</v>
      </c>
      <c r="B143">
        <v>1</v>
      </c>
      <c r="D143">
        <v>4</v>
      </c>
      <c r="E143" t="s">
        <v>188</v>
      </c>
      <c r="F143" t="s">
        <v>189</v>
      </c>
      <c r="G143">
        <v>1</v>
      </c>
      <c r="H143">
        <v>0</v>
      </c>
      <c r="I143" t="s">
        <v>3</v>
      </c>
      <c r="J143">
        <v>2</v>
      </c>
      <c r="K143">
        <v>0</v>
      </c>
      <c r="L143" t="s">
        <v>3</v>
      </c>
      <c r="M143" t="s">
        <v>3</v>
      </c>
      <c r="N143">
        <v>0</v>
      </c>
      <c r="O143">
        <v>1</v>
      </c>
      <c r="P143" t="s">
        <v>3</v>
      </c>
    </row>
    <row r="144" spans="1:28">
      <c r="A144">
        <v>70</v>
      </c>
      <c r="B144">
        <v>1</v>
      </c>
      <c r="D144">
        <v>5</v>
      </c>
      <c r="E144" t="s">
        <v>190</v>
      </c>
      <c r="F144" t="s">
        <v>191</v>
      </c>
      <c r="G144">
        <v>0</v>
      </c>
      <c r="H144">
        <v>0</v>
      </c>
      <c r="I144" t="s">
        <v>3</v>
      </c>
      <c r="J144">
        <v>2</v>
      </c>
      <c r="K144">
        <v>0</v>
      </c>
      <c r="L144" t="s">
        <v>3</v>
      </c>
      <c r="M144" t="s">
        <v>3</v>
      </c>
      <c r="N144">
        <v>0</v>
      </c>
      <c r="O144">
        <v>0</v>
      </c>
      <c r="P144" t="s">
        <v>3</v>
      </c>
    </row>
    <row r="145" spans="1:16">
      <c r="A145">
        <v>70</v>
      </c>
      <c r="B145">
        <v>1</v>
      </c>
      <c r="D145">
        <v>6</v>
      </c>
      <c r="E145" t="s">
        <v>192</v>
      </c>
      <c r="F145" t="s">
        <v>193</v>
      </c>
      <c r="G145">
        <v>0</v>
      </c>
      <c r="H145">
        <v>0</v>
      </c>
      <c r="I145" t="s">
        <v>3</v>
      </c>
      <c r="J145">
        <v>2</v>
      </c>
      <c r="K145">
        <v>0</v>
      </c>
      <c r="L145" t="s">
        <v>3</v>
      </c>
      <c r="M145" t="s">
        <v>3</v>
      </c>
      <c r="N145">
        <v>0</v>
      </c>
      <c r="O145">
        <v>0</v>
      </c>
      <c r="P145" t="s">
        <v>3</v>
      </c>
    </row>
    <row r="146" spans="1:16">
      <c r="A146">
        <v>70</v>
      </c>
      <c r="B146">
        <v>1</v>
      </c>
      <c r="D146">
        <v>7</v>
      </c>
      <c r="E146" t="s">
        <v>194</v>
      </c>
      <c r="F146" t="s">
        <v>195</v>
      </c>
      <c r="G146">
        <v>0</v>
      </c>
      <c r="H146">
        <v>0</v>
      </c>
      <c r="I146" t="s">
        <v>196</v>
      </c>
      <c r="J146">
        <v>0</v>
      </c>
      <c r="K146">
        <v>0</v>
      </c>
      <c r="L146" t="s">
        <v>3</v>
      </c>
      <c r="M146" t="s">
        <v>3</v>
      </c>
      <c r="N146">
        <v>0</v>
      </c>
      <c r="O146">
        <v>0</v>
      </c>
      <c r="P146" t="s">
        <v>197</v>
      </c>
    </row>
    <row r="147" spans="1:16">
      <c r="A147">
        <v>70</v>
      </c>
      <c r="B147">
        <v>1</v>
      </c>
      <c r="D147">
        <v>8</v>
      </c>
      <c r="E147" t="s">
        <v>198</v>
      </c>
      <c r="F147" t="s">
        <v>199</v>
      </c>
      <c r="G147">
        <v>0</v>
      </c>
      <c r="H147">
        <v>0</v>
      </c>
      <c r="I147" t="s">
        <v>200</v>
      </c>
      <c r="J147">
        <v>0</v>
      </c>
      <c r="K147">
        <v>0</v>
      </c>
      <c r="L147" t="s">
        <v>3</v>
      </c>
      <c r="M147" t="s">
        <v>3</v>
      </c>
      <c r="N147">
        <v>0</v>
      </c>
      <c r="O147">
        <v>0</v>
      </c>
      <c r="P147" t="s">
        <v>198</v>
      </c>
    </row>
    <row r="148" spans="1:16">
      <c r="A148">
        <v>70</v>
      </c>
      <c r="B148">
        <v>1</v>
      </c>
      <c r="D148">
        <v>9</v>
      </c>
      <c r="E148" t="s">
        <v>201</v>
      </c>
      <c r="F148" t="s">
        <v>202</v>
      </c>
      <c r="G148">
        <v>0</v>
      </c>
      <c r="H148">
        <v>0</v>
      </c>
      <c r="I148" t="s">
        <v>203</v>
      </c>
      <c r="J148">
        <v>0</v>
      </c>
      <c r="K148">
        <v>0</v>
      </c>
      <c r="L148" t="s">
        <v>3</v>
      </c>
      <c r="M148" t="s">
        <v>3</v>
      </c>
      <c r="N148">
        <v>0</v>
      </c>
      <c r="O148">
        <v>0</v>
      </c>
      <c r="P148" t="s">
        <v>204</v>
      </c>
    </row>
    <row r="149" spans="1:16">
      <c r="A149">
        <v>70</v>
      </c>
      <c r="B149">
        <v>1</v>
      </c>
      <c r="D149">
        <v>10</v>
      </c>
      <c r="E149" t="s">
        <v>205</v>
      </c>
      <c r="F149" t="s">
        <v>206</v>
      </c>
      <c r="G149">
        <v>0</v>
      </c>
      <c r="H149">
        <v>0</v>
      </c>
      <c r="I149" t="s">
        <v>207</v>
      </c>
      <c r="J149">
        <v>0</v>
      </c>
      <c r="K149">
        <v>0</v>
      </c>
      <c r="L149" t="s">
        <v>3</v>
      </c>
      <c r="M149" t="s">
        <v>3</v>
      </c>
      <c r="N149">
        <v>0</v>
      </c>
      <c r="O149">
        <v>0</v>
      </c>
      <c r="P149" t="s">
        <v>208</v>
      </c>
    </row>
    <row r="150" spans="1:16">
      <c r="A150">
        <v>70</v>
      </c>
      <c r="B150">
        <v>1</v>
      </c>
      <c r="D150">
        <v>11</v>
      </c>
      <c r="E150" t="s">
        <v>209</v>
      </c>
      <c r="F150" t="s">
        <v>210</v>
      </c>
      <c r="G150">
        <v>0</v>
      </c>
      <c r="H150">
        <v>0</v>
      </c>
      <c r="I150" t="s">
        <v>211</v>
      </c>
      <c r="J150">
        <v>0</v>
      </c>
      <c r="K150">
        <v>0</v>
      </c>
      <c r="L150" t="s">
        <v>3</v>
      </c>
      <c r="M150" t="s">
        <v>3</v>
      </c>
      <c r="N150">
        <v>0</v>
      </c>
      <c r="O150">
        <v>0</v>
      </c>
      <c r="P150" t="s">
        <v>212</v>
      </c>
    </row>
    <row r="151" spans="1:16">
      <c r="A151">
        <v>70</v>
      </c>
      <c r="B151">
        <v>1</v>
      </c>
      <c r="D151">
        <v>12</v>
      </c>
      <c r="E151" t="s">
        <v>213</v>
      </c>
      <c r="F151" t="s">
        <v>214</v>
      </c>
      <c r="G151">
        <v>0</v>
      </c>
      <c r="H151">
        <v>0</v>
      </c>
      <c r="I151" t="s">
        <v>3</v>
      </c>
      <c r="J151">
        <v>0</v>
      </c>
      <c r="K151">
        <v>0</v>
      </c>
      <c r="L151" t="s">
        <v>3</v>
      </c>
      <c r="M151" t="s">
        <v>3</v>
      </c>
      <c r="N151">
        <v>0</v>
      </c>
      <c r="O151">
        <v>0</v>
      </c>
      <c r="P151" t="s">
        <v>215</v>
      </c>
    </row>
    <row r="152" spans="1:16">
      <c r="A152">
        <v>70</v>
      </c>
      <c r="B152">
        <v>1</v>
      </c>
      <c r="D152">
        <v>1</v>
      </c>
      <c r="E152" t="s">
        <v>216</v>
      </c>
      <c r="F152" t="s">
        <v>217</v>
      </c>
      <c r="G152">
        <v>0.9</v>
      </c>
      <c r="H152">
        <v>1</v>
      </c>
      <c r="I152" t="s">
        <v>218</v>
      </c>
      <c r="J152">
        <v>0</v>
      </c>
      <c r="K152">
        <v>0</v>
      </c>
      <c r="L152" t="s">
        <v>3</v>
      </c>
      <c r="M152" t="s">
        <v>3</v>
      </c>
      <c r="N152">
        <v>0</v>
      </c>
      <c r="O152">
        <v>0.9</v>
      </c>
      <c r="P152" t="s">
        <v>219</v>
      </c>
    </row>
    <row r="153" spans="1:16">
      <c r="A153">
        <v>70</v>
      </c>
      <c r="B153">
        <v>1</v>
      </c>
      <c r="D153">
        <v>2</v>
      </c>
      <c r="E153" t="s">
        <v>220</v>
      </c>
      <c r="F153" t="s">
        <v>221</v>
      </c>
      <c r="G153">
        <v>0.85</v>
      </c>
      <c r="H153">
        <v>1</v>
      </c>
      <c r="I153" t="s">
        <v>222</v>
      </c>
      <c r="J153">
        <v>0</v>
      </c>
      <c r="K153">
        <v>0</v>
      </c>
      <c r="L153" t="s">
        <v>3</v>
      </c>
      <c r="M153" t="s">
        <v>3</v>
      </c>
      <c r="N153">
        <v>0</v>
      </c>
      <c r="O153">
        <v>0.85</v>
      </c>
      <c r="P153" t="s">
        <v>223</v>
      </c>
    </row>
    <row r="154" spans="1:16">
      <c r="A154">
        <v>70</v>
      </c>
      <c r="B154">
        <v>1</v>
      </c>
      <c r="D154">
        <v>3</v>
      </c>
      <c r="E154" t="s">
        <v>224</v>
      </c>
      <c r="F154" t="s">
        <v>225</v>
      </c>
      <c r="G154">
        <v>1.03</v>
      </c>
      <c r="H154">
        <v>0</v>
      </c>
      <c r="I154" t="s">
        <v>3</v>
      </c>
      <c r="J154">
        <v>0</v>
      </c>
      <c r="K154">
        <v>0</v>
      </c>
      <c r="L154" t="s">
        <v>3</v>
      </c>
      <c r="M154" t="s">
        <v>3</v>
      </c>
      <c r="N154">
        <v>0</v>
      </c>
      <c r="O154">
        <v>1.03</v>
      </c>
      <c r="P154" t="s">
        <v>226</v>
      </c>
    </row>
    <row r="155" spans="1:16">
      <c r="A155">
        <v>70</v>
      </c>
      <c r="B155">
        <v>1</v>
      </c>
      <c r="D155">
        <v>4</v>
      </c>
      <c r="E155" t="s">
        <v>227</v>
      </c>
      <c r="F155" t="s">
        <v>228</v>
      </c>
      <c r="G155">
        <v>1.0900000000000001</v>
      </c>
      <c r="H155">
        <v>0</v>
      </c>
      <c r="I155" t="s">
        <v>3</v>
      </c>
      <c r="J155">
        <v>0</v>
      </c>
      <c r="K155">
        <v>0</v>
      </c>
      <c r="L155" t="s">
        <v>3</v>
      </c>
      <c r="M155" t="s">
        <v>3</v>
      </c>
      <c r="N155">
        <v>0</v>
      </c>
      <c r="O155">
        <v>1.0900000000000001</v>
      </c>
      <c r="P155" t="s">
        <v>229</v>
      </c>
    </row>
    <row r="156" spans="1:16">
      <c r="A156">
        <v>70</v>
      </c>
      <c r="B156">
        <v>1</v>
      </c>
      <c r="D156">
        <v>5</v>
      </c>
      <c r="E156" t="s">
        <v>230</v>
      </c>
      <c r="F156" t="s">
        <v>231</v>
      </c>
      <c r="G156">
        <v>7</v>
      </c>
      <c r="H156">
        <v>0</v>
      </c>
      <c r="I156" t="s">
        <v>3</v>
      </c>
      <c r="J156">
        <v>0</v>
      </c>
      <c r="K156">
        <v>0</v>
      </c>
      <c r="L156" t="s">
        <v>3</v>
      </c>
      <c r="M156" t="s">
        <v>3</v>
      </c>
      <c r="N156">
        <v>0</v>
      </c>
      <c r="O156">
        <v>7</v>
      </c>
      <c r="P156" t="s">
        <v>3</v>
      </c>
    </row>
    <row r="157" spans="1:16">
      <c r="A157">
        <v>70</v>
      </c>
      <c r="B157">
        <v>1</v>
      </c>
      <c r="D157">
        <v>6</v>
      </c>
      <c r="E157" t="s">
        <v>232</v>
      </c>
      <c r="F157" t="s">
        <v>3</v>
      </c>
      <c r="G157">
        <v>2</v>
      </c>
      <c r="H157">
        <v>0</v>
      </c>
      <c r="I157" t="s">
        <v>3</v>
      </c>
      <c r="J157">
        <v>0</v>
      </c>
      <c r="K157">
        <v>0</v>
      </c>
      <c r="L157" t="s">
        <v>3</v>
      </c>
      <c r="M157" t="s">
        <v>3</v>
      </c>
      <c r="N157">
        <v>0</v>
      </c>
      <c r="O157">
        <v>2</v>
      </c>
      <c r="P157" t="s">
        <v>3</v>
      </c>
    </row>
    <row r="159" spans="1:16">
      <c r="A159">
        <v>-1</v>
      </c>
    </row>
    <row r="161" spans="1:40">
      <c r="A161" s="4">
        <v>75</v>
      </c>
      <c r="B161" s="4" t="s">
        <v>233</v>
      </c>
      <c r="C161" s="4">
        <v>2021</v>
      </c>
      <c r="D161" s="4">
        <v>4</v>
      </c>
      <c r="E161" s="4">
        <v>0</v>
      </c>
      <c r="F161" s="4"/>
      <c r="G161" s="4">
        <v>0</v>
      </c>
      <c r="H161" s="4">
        <v>1</v>
      </c>
      <c r="I161" s="4">
        <v>0</v>
      </c>
      <c r="J161" s="4">
        <v>1</v>
      </c>
      <c r="K161" s="4">
        <v>0</v>
      </c>
      <c r="L161" s="4">
        <v>0</v>
      </c>
      <c r="M161" s="4">
        <v>1</v>
      </c>
      <c r="N161" s="4">
        <v>73147422</v>
      </c>
      <c r="O161" s="4">
        <v>1</v>
      </c>
    </row>
    <row r="162" spans="1:40">
      <c r="A162" s="6">
        <v>3</v>
      </c>
      <c r="B162" s="6" t="s">
        <v>234</v>
      </c>
      <c r="C162" s="6">
        <v>9.52</v>
      </c>
      <c r="D162" s="6">
        <v>6.74</v>
      </c>
      <c r="E162" s="6">
        <v>9.52</v>
      </c>
      <c r="F162" s="6">
        <v>24.24</v>
      </c>
      <c r="G162" s="6">
        <v>24.24</v>
      </c>
      <c r="H162" s="6">
        <v>1</v>
      </c>
      <c r="I162" s="6">
        <v>6.74</v>
      </c>
      <c r="J162" s="6">
        <v>2</v>
      </c>
      <c r="K162" s="6">
        <v>24.24</v>
      </c>
      <c r="L162" s="6">
        <v>9.52</v>
      </c>
      <c r="M162" s="6">
        <v>9.52</v>
      </c>
      <c r="N162" s="6">
        <v>6.74</v>
      </c>
      <c r="O162" s="6">
        <v>1</v>
      </c>
      <c r="P162" s="6">
        <v>6.74</v>
      </c>
      <c r="Q162" s="6">
        <v>24.24</v>
      </c>
      <c r="R162" s="6">
        <v>9.52</v>
      </c>
      <c r="S162" s="6" t="s">
        <v>3</v>
      </c>
      <c r="T162" s="6" t="s">
        <v>3</v>
      </c>
      <c r="U162" s="6" t="s">
        <v>3</v>
      </c>
      <c r="V162" s="6" t="s">
        <v>3</v>
      </c>
      <c r="W162" s="6" t="s">
        <v>3</v>
      </c>
      <c r="X162" s="6" t="s">
        <v>3</v>
      </c>
      <c r="Y162" s="6" t="s">
        <v>3</v>
      </c>
      <c r="Z162" s="6" t="s">
        <v>3</v>
      </c>
      <c r="AA162" s="6" t="s">
        <v>3</v>
      </c>
      <c r="AB162" s="6" t="s">
        <v>3</v>
      </c>
      <c r="AC162" s="6" t="s">
        <v>3</v>
      </c>
      <c r="AD162" s="6" t="s">
        <v>3</v>
      </c>
      <c r="AE162" s="6" t="s">
        <v>3</v>
      </c>
      <c r="AF162" s="6" t="s">
        <v>3</v>
      </c>
      <c r="AG162" s="6" t="s">
        <v>3</v>
      </c>
      <c r="AH162" s="6" t="s">
        <v>3</v>
      </c>
      <c r="AI162" s="6"/>
      <c r="AJ162" s="6"/>
      <c r="AK162" s="6"/>
      <c r="AL162" s="6"/>
      <c r="AM162" s="6"/>
      <c r="AN162" s="6">
        <v>73147423</v>
      </c>
    </row>
    <row r="163" spans="1:40">
      <c r="A163" s="4">
        <v>75</v>
      </c>
      <c r="B163" s="4" t="s">
        <v>235</v>
      </c>
      <c r="C163" s="4">
        <v>2000</v>
      </c>
      <c r="D163" s="4">
        <v>0</v>
      </c>
      <c r="E163" s="4">
        <v>1</v>
      </c>
      <c r="F163" s="4">
        <v>0</v>
      </c>
      <c r="G163" s="4">
        <v>0</v>
      </c>
      <c r="H163" s="4">
        <v>1</v>
      </c>
      <c r="I163" s="4">
        <v>0</v>
      </c>
      <c r="J163" s="4">
        <v>3</v>
      </c>
      <c r="K163" s="4">
        <v>0</v>
      </c>
      <c r="L163" s="4">
        <v>0</v>
      </c>
      <c r="M163" s="4">
        <v>0</v>
      </c>
      <c r="N163" s="4">
        <v>73147424</v>
      </c>
      <c r="O163" s="4">
        <v>2</v>
      </c>
    </row>
    <row r="167" spans="1:40">
      <c r="A167">
        <v>65</v>
      </c>
      <c r="C167">
        <v>1</v>
      </c>
      <c r="D167">
        <v>0</v>
      </c>
      <c r="E167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C60"/>
  <sheetViews>
    <sheetView workbookViewId="0"/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236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13227</v>
      </c>
      <c r="M1">
        <v>10</v>
      </c>
      <c r="N1">
        <v>11</v>
      </c>
      <c r="O1">
        <v>4</v>
      </c>
      <c r="P1">
        <v>1</v>
      </c>
      <c r="Q1">
        <v>4</v>
      </c>
    </row>
    <row r="12" spans="1:133">
      <c r="A12" s="1">
        <v>1</v>
      </c>
      <c r="B12" s="1">
        <v>58</v>
      </c>
      <c r="C12" s="1">
        <v>0</v>
      </c>
      <c r="D12" s="1"/>
      <c r="E12" s="1">
        <v>0</v>
      </c>
      <c r="F12" s="1" t="s">
        <v>3</v>
      </c>
      <c r="G12" s="1" t="s">
        <v>4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131078</v>
      </c>
      <c r="N12" s="1"/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3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5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6</v>
      </c>
      <c r="AJ12" s="1" t="s">
        <v>7</v>
      </c>
      <c r="AK12" s="1"/>
      <c r="AL12" s="1" t="s">
        <v>8</v>
      </c>
      <c r="AM12" s="1" t="s">
        <v>3</v>
      </c>
      <c r="AN12" s="1" t="s">
        <v>9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2</v>
      </c>
      <c r="BC12" s="1"/>
      <c r="BD12" s="1"/>
      <c r="BE12" s="1"/>
      <c r="BF12" s="1"/>
      <c r="BG12" s="1"/>
      <c r="BH12" s="1" t="s">
        <v>10</v>
      </c>
      <c r="BI12" s="1" t="s">
        <v>11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12</v>
      </c>
      <c r="BZ12" s="1" t="s">
        <v>13</v>
      </c>
      <c r="CA12" s="1" t="s">
        <v>14</v>
      </c>
      <c r="CB12" s="1" t="s">
        <v>14</v>
      </c>
      <c r="CC12" s="1" t="s">
        <v>14</v>
      </c>
      <c r="CD12" s="1" t="s">
        <v>14</v>
      </c>
      <c r="CE12" s="1" t="s">
        <v>15</v>
      </c>
      <c r="CF12" s="1">
        <v>0</v>
      </c>
      <c r="CG12" s="1">
        <v>0</v>
      </c>
      <c r="CH12" s="1">
        <v>403537928</v>
      </c>
      <c r="CI12" s="1" t="s">
        <v>3</v>
      </c>
      <c r="CJ12" s="1" t="s">
        <v>3</v>
      </c>
      <c r="CK12" s="1">
        <v>7</v>
      </c>
      <c r="CL12" s="1"/>
      <c r="CM12" s="1"/>
      <c r="CN12" s="1"/>
      <c r="CO12" s="1"/>
      <c r="CP12" s="1"/>
      <c r="CQ12" s="1" t="s">
        <v>262</v>
      </c>
      <c r="CR12" s="1" t="s">
        <v>16</v>
      </c>
      <c r="CS12" s="1">
        <v>44375</v>
      </c>
      <c r="CT12" s="1">
        <v>382</v>
      </c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73147422</v>
      </c>
      <c r="E14" s="1">
        <v>73147424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7">
        <v>3</v>
      </c>
      <c r="B16" s="7">
        <v>1</v>
      </c>
      <c r="C16" s="7" t="s">
        <v>3</v>
      </c>
      <c r="D16" s="7" t="s">
        <v>17</v>
      </c>
      <c r="E16" s="8">
        <v>364.76</v>
      </c>
      <c r="F16" s="8">
        <v>0</v>
      </c>
      <c r="G16" s="8">
        <v>0</v>
      </c>
      <c r="H16" s="8">
        <v>0</v>
      </c>
      <c r="I16" s="8">
        <v>364.76</v>
      </c>
      <c r="J16" s="8">
        <v>119.33</v>
      </c>
      <c r="T16" s="9">
        <v>18.95</v>
      </c>
      <c r="U16" s="9">
        <v>0</v>
      </c>
      <c r="V16" s="9">
        <v>0</v>
      </c>
      <c r="W16" s="9">
        <v>0</v>
      </c>
      <c r="X16" s="9">
        <v>18.95</v>
      </c>
      <c r="Y16" s="9">
        <v>4.92</v>
      </c>
      <c r="AI16" s="7">
        <v>0</v>
      </c>
      <c r="AJ16" s="7">
        <v>-1</v>
      </c>
      <c r="AK16" s="7" t="s">
        <v>3</v>
      </c>
      <c r="AL16" s="7" t="s">
        <v>3</v>
      </c>
      <c r="AM16" s="7" t="s">
        <v>3</v>
      </c>
      <c r="AN16" s="7">
        <v>0</v>
      </c>
      <c r="AO16" s="7" t="s">
        <v>3</v>
      </c>
      <c r="AP16" s="7" t="s">
        <v>3</v>
      </c>
      <c r="AT16" s="8">
        <v>180511.09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119327.95</v>
      </c>
      <c r="BB16" s="8">
        <v>364757.36000000004</v>
      </c>
      <c r="BC16" s="8">
        <v>0</v>
      </c>
      <c r="BD16" s="8">
        <v>0</v>
      </c>
      <c r="BE16" s="8">
        <v>0</v>
      </c>
      <c r="BF16" s="8">
        <v>544.90200000000004</v>
      </c>
      <c r="BG16" s="8">
        <v>0</v>
      </c>
      <c r="BH16" s="8">
        <v>0</v>
      </c>
      <c r="BI16" s="8">
        <v>120761.84000000001</v>
      </c>
      <c r="BJ16" s="8">
        <v>63484.43</v>
      </c>
      <c r="BK16" s="8">
        <v>364757.36</v>
      </c>
      <c r="BR16" s="9">
        <v>11349.57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4922.7699999999995</v>
      </c>
      <c r="BZ16" s="9">
        <v>18950.490000000002</v>
      </c>
      <c r="CA16" s="9">
        <v>0</v>
      </c>
      <c r="CB16" s="9">
        <v>0</v>
      </c>
      <c r="CC16" s="9">
        <v>0</v>
      </c>
      <c r="CD16" s="9">
        <v>544.90200000000004</v>
      </c>
      <c r="CE16" s="9">
        <v>0</v>
      </c>
      <c r="CF16" s="9">
        <v>0</v>
      </c>
      <c r="CG16" s="9">
        <v>4981.92</v>
      </c>
      <c r="CH16" s="9">
        <v>2619</v>
      </c>
      <c r="CI16" s="9">
        <v>18950.489999999998</v>
      </c>
    </row>
    <row r="18" spans="1:40">
      <c r="A18">
        <v>51</v>
      </c>
      <c r="E18" s="10">
        <f>SUMIF(A16:A17,3,E16:E17)</f>
        <v>364.76</v>
      </c>
      <c r="F18" s="10">
        <f>SUMIF(A16:A17,3,F16:F17)</f>
        <v>0</v>
      </c>
      <c r="G18" s="10">
        <f>SUMIF(A16:A17,3,G16:G17)</f>
        <v>0</v>
      </c>
      <c r="H18" s="10">
        <f>SUMIF(A16:A17,3,H16:H17)</f>
        <v>0</v>
      </c>
      <c r="I18" s="10">
        <f>SUMIF(A16:A17,3,I16:I17)</f>
        <v>364.76</v>
      </c>
      <c r="J18" s="10">
        <f>SUMIF(A16:A17,3,J16:J17)</f>
        <v>119.33</v>
      </c>
      <c r="K18" s="10"/>
      <c r="L18" s="10"/>
      <c r="M18" s="10"/>
      <c r="N18" s="10"/>
      <c r="O18" s="10"/>
      <c r="P18" s="10"/>
      <c r="Q18" s="10"/>
      <c r="R18" s="10"/>
      <c r="S18" s="10"/>
      <c r="T18" s="3">
        <f>SUMIF(A16:A17,3,T16:T17)</f>
        <v>18.95</v>
      </c>
      <c r="U18" s="3">
        <f>SUMIF(A16:A17,3,U16:U17)</f>
        <v>0</v>
      </c>
      <c r="V18" s="3">
        <f>SUMIF(A16:A17,3,V16:V17)</f>
        <v>0</v>
      </c>
      <c r="W18" s="3">
        <f>SUMIF(A16:A17,3,W16:W17)</f>
        <v>0</v>
      </c>
      <c r="X18" s="3">
        <f>SUMIF(A16:A17,3,X16:X17)</f>
        <v>18.95</v>
      </c>
      <c r="Y18" s="3">
        <f>SUMIF(A16:A17,3,Y16:Y17)</f>
        <v>4.92</v>
      </c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20" spans="1:40">
      <c r="A20" s="5">
        <v>50</v>
      </c>
      <c r="B20" s="5">
        <v>0</v>
      </c>
      <c r="C20" s="5">
        <v>0</v>
      </c>
      <c r="D20" s="5">
        <v>1</v>
      </c>
      <c r="E20" s="5">
        <v>201</v>
      </c>
      <c r="F20" s="5">
        <v>180511.09</v>
      </c>
      <c r="G20" s="5" t="s">
        <v>111</v>
      </c>
      <c r="H20" s="5" t="s">
        <v>112</v>
      </c>
      <c r="I20" s="5"/>
      <c r="J20" s="5"/>
      <c r="K20" s="5">
        <v>201</v>
      </c>
      <c r="L20" s="5">
        <v>1</v>
      </c>
      <c r="M20" s="5">
        <v>3</v>
      </c>
      <c r="N20" s="5" t="s">
        <v>3</v>
      </c>
      <c r="O20" s="5">
        <v>2</v>
      </c>
      <c r="P20" s="5">
        <v>11349.57</v>
      </c>
    </row>
    <row r="21" spans="1:40">
      <c r="A21" s="5">
        <v>50</v>
      </c>
      <c r="B21" s="5">
        <v>0</v>
      </c>
      <c r="C21" s="5">
        <v>0</v>
      </c>
      <c r="D21" s="5">
        <v>1</v>
      </c>
      <c r="E21" s="5">
        <v>202</v>
      </c>
      <c r="F21" s="5">
        <v>0</v>
      </c>
      <c r="G21" s="5" t="s">
        <v>113</v>
      </c>
      <c r="H21" s="5" t="s">
        <v>114</v>
      </c>
      <c r="I21" s="5"/>
      <c r="J21" s="5"/>
      <c r="K21" s="5">
        <v>202</v>
      </c>
      <c r="L21" s="5">
        <v>2</v>
      </c>
      <c r="M21" s="5">
        <v>3</v>
      </c>
      <c r="N21" s="5" t="s">
        <v>3</v>
      </c>
      <c r="O21" s="5">
        <v>2</v>
      </c>
      <c r="P21" s="5">
        <v>0</v>
      </c>
    </row>
    <row r="22" spans="1:40">
      <c r="A22" s="5">
        <v>50</v>
      </c>
      <c r="B22" s="5">
        <v>0</v>
      </c>
      <c r="C22" s="5">
        <v>0</v>
      </c>
      <c r="D22" s="5">
        <v>1</v>
      </c>
      <c r="E22" s="5">
        <v>222</v>
      </c>
      <c r="F22" s="5">
        <v>0</v>
      </c>
      <c r="G22" s="5" t="s">
        <v>115</v>
      </c>
      <c r="H22" s="5" t="s">
        <v>116</v>
      </c>
      <c r="I22" s="5"/>
      <c r="J22" s="5"/>
      <c r="K22" s="5">
        <v>222</v>
      </c>
      <c r="L22" s="5">
        <v>3</v>
      </c>
      <c r="M22" s="5">
        <v>3</v>
      </c>
      <c r="N22" s="5" t="s">
        <v>3</v>
      </c>
      <c r="O22" s="5">
        <v>2</v>
      </c>
      <c r="P22" s="5">
        <v>0</v>
      </c>
    </row>
    <row r="23" spans="1:40">
      <c r="A23" s="5">
        <v>50</v>
      </c>
      <c r="B23" s="5">
        <v>0</v>
      </c>
      <c r="C23" s="5">
        <v>0</v>
      </c>
      <c r="D23" s="5">
        <v>1</v>
      </c>
      <c r="E23" s="5">
        <v>225</v>
      </c>
      <c r="F23" s="5">
        <v>0</v>
      </c>
      <c r="G23" s="5" t="s">
        <v>117</v>
      </c>
      <c r="H23" s="5" t="s">
        <v>118</v>
      </c>
      <c r="I23" s="5"/>
      <c r="J23" s="5"/>
      <c r="K23" s="5">
        <v>225</v>
      </c>
      <c r="L23" s="5">
        <v>4</v>
      </c>
      <c r="M23" s="5">
        <v>3</v>
      </c>
      <c r="N23" s="5" t="s">
        <v>3</v>
      </c>
      <c r="O23" s="5">
        <v>2</v>
      </c>
      <c r="P23" s="5">
        <v>0</v>
      </c>
    </row>
    <row r="24" spans="1:40">
      <c r="A24" s="5">
        <v>50</v>
      </c>
      <c r="B24" s="5">
        <v>0</v>
      </c>
      <c r="C24" s="5">
        <v>0</v>
      </c>
      <c r="D24" s="5">
        <v>1</v>
      </c>
      <c r="E24" s="5">
        <v>226</v>
      </c>
      <c r="F24" s="5">
        <v>0</v>
      </c>
      <c r="G24" s="5" t="s">
        <v>119</v>
      </c>
      <c r="H24" s="5" t="s">
        <v>120</v>
      </c>
      <c r="I24" s="5"/>
      <c r="J24" s="5"/>
      <c r="K24" s="5">
        <v>226</v>
      </c>
      <c r="L24" s="5">
        <v>5</v>
      </c>
      <c r="M24" s="5">
        <v>3</v>
      </c>
      <c r="N24" s="5" t="s">
        <v>3</v>
      </c>
      <c r="O24" s="5">
        <v>2</v>
      </c>
      <c r="P24" s="5">
        <v>0</v>
      </c>
    </row>
    <row r="25" spans="1:40">
      <c r="A25" s="5">
        <v>50</v>
      </c>
      <c r="B25" s="5">
        <v>0</v>
      </c>
      <c r="C25" s="5">
        <v>0</v>
      </c>
      <c r="D25" s="5">
        <v>1</v>
      </c>
      <c r="E25" s="5">
        <v>227</v>
      </c>
      <c r="F25" s="5">
        <v>0</v>
      </c>
      <c r="G25" s="5" t="s">
        <v>121</v>
      </c>
      <c r="H25" s="5" t="s">
        <v>122</v>
      </c>
      <c r="I25" s="5"/>
      <c r="J25" s="5"/>
      <c r="K25" s="5">
        <v>227</v>
      </c>
      <c r="L25" s="5">
        <v>6</v>
      </c>
      <c r="M25" s="5">
        <v>3</v>
      </c>
      <c r="N25" s="5" t="s">
        <v>3</v>
      </c>
      <c r="O25" s="5">
        <v>2</v>
      </c>
      <c r="P25" s="5">
        <v>0</v>
      </c>
    </row>
    <row r="26" spans="1:40">
      <c r="A26" s="5">
        <v>50</v>
      </c>
      <c r="B26" s="5">
        <v>0</v>
      </c>
      <c r="C26" s="5">
        <v>0</v>
      </c>
      <c r="D26" s="5">
        <v>1</v>
      </c>
      <c r="E26" s="5">
        <v>228</v>
      </c>
      <c r="F26" s="5">
        <v>0</v>
      </c>
      <c r="G26" s="5" t="s">
        <v>123</v>
      </c>
      <c r="H26" s="5" t="s">
        <v>124</v>
      </c>
      <c r="I26" s="5"/>
      <c r="J26" s="5"/>
      <c r="K26" s="5">
        <v>228</v>
      </c>
      <c r="L26" s="5">
        <v>7</v>
      </c>
      <c r="M26" s="5">
        <v>3</v>
      </c>
      <c r="N26" s="5" t="s">
        <v>3</v>
      </c>
      <c r="O26" s="5">
        <v>2</v>
      </c>
      <c r="P26" s="5">
        <v>0</v>
      </c>
    </row>
    <row r="27" spans="1:40">
      <c r="A27" s="5">
        <v>50</v>
      </c>
      <c r="B27" s="5">
        <v>0</v>
      </c>
      <c r="C27" s="5">
        <v>0</v>
      </c>
      <c r="D27" s="5">
        <v>1</v>
      </c>
      <c r="E27" s="5">
        <v>216</v>
      </c>
      <c r="F27" s="5">
        <v>0</v>
      </c>
      <c r="G27" s="5" t="s">
        <v>125</v>
      </c>
      <c r="H27" s="5" t="s">
        <v>126</v>
      </c>
      <c r="I27" s="5"/>
      <c r="J27" s="5"/>
      <c r="K27" s="5">
        <v>216</v>
      </c>
      <c r="L27" s="5">
        <v>8</v>
      </c>
      <c r="M27" s="5">
        <v>3</v>
      </c>
      <c r="N27" s="5" t="s">
        <v>3</v>
      </c>
      <c r="O27" s="5">
        <v>2</v>
      </c>
      <c r="P27" s="5">
        <v>0</v>
      </c>
    </row>
    <row r="28" spans="1:40">
      <c r="A28" s="5">
        <v>50</v>
      </c>
      <c r="B28" s="5">
        <v>0</v>
      </c>
      <c r="C28" s="5">
        <v>0</v>
      </c>
      <c r="D28" s="5">
        <v>1</v>
      </c>
      <c r="E28" s="5">
        <v>223</v>
      </c>
      <c r="F28" s="5">
        <v>0</v>
      </c>
      <c r="G28" s="5" t="s">
        <v>127</v>
      </c>
      <c r="H28" s="5" t="s">
        <v>128</v>
      </c>
      <c r="I28" s="5"/>
      <c r="J28" s="5"/>
      <c r="K28" s="5">
        <v>223</v>
      </c>
      <c r="L28" s="5">
        <v>9</v>
      </c>
      <c r="M28" s="5">
        <v>3</v>
      </c>
      <c r="N28" s="5" t="s">
        <v>3</v>
      </c>
      <c r="O28" s="5">
        <v>2</v>
      </c>
      <c r="P28" s="5">
        <v>0</v>
      </c>
    </row>
    <row r="29" spans="1:40">
      <c r="A29" s="5">
        <v>50</v>
      </c>
      <c r="B29" s="5">
        <v>0</v>
      </c>
      <c r="C29" s="5">
        <v>0</v>
      </c>
      <c r="D29" s="5">
        <v>1</v>
      </c>
      <c r="E29" s="5">
        <v>229</v>
      </c>
      <c r="F29" s="5">
        <v>0</v>
      </c>
      <c r="G29" s="5" t="s">
        <v>129</v>
      </c>
      <c r="H29" s="5" t="s">
        <v>130</v>
      </c>
      <c r="I29" s="5"/>
      <c r="J29" s="5"/>
      <c r="K29" s="5">
        <v>229</v>
      </c>
      <c r="L29" s="5">
        <v>10</v>
      </c>
      <c r="M29" s="5">
        <v>3</v>
      </c>
      <c r="N29" s="5" t="s">
        <v>3</v>
      </c>
      <c r="O29" s="5">
        <v>2</v>
      </c>
      <c r="P29" s="5">
        <v>0</v>
      </c>
    </row>
    <row r="30" spans="1:40">
      <c r="A30" s="5">
        <v>50</v>
      </c>
      <c r="B30" s="5">
        <v>0</v>
      </c>
      <c r="C30" s="5">
        <v>0</v>
      </c>
      <c r="D30" s="5">
        <v>1</v>
      </c>
      <c r="E30" s="5">
        <v>203</v>
      </c>
      <c r="F30" s="5">
        <v>0</v>
      </c>
      <c r="G30" s="5" t="s">
        <v>131</v>
      </c>
      <c r="H30" s="5" t="s">
        <v>132</v>
      </c>
      <c r="I30" s="5"/>
      <c r="J30" s="5"/>
      <c r="K30" s="5">
        <v>203</v>
      </c>
      <c r="L30" s="5">
        <v>11</v>
      </c>
      <c r="M30" s="5">
        <v>3</v>
      </c>
      <c r="N30" s="5" t="s">
        <v>3</v>
      </c>
      <c r="O30" s="5">
        <v>2</v>
      </c>
      <c r="P30" s="5">
        <v>0</v>
      </c>
    </row>
    <row r="31" spans="1:40">
      <c r="A31" s="5">
        <v>50</v>
      </c>
      <c r="B31" s="5">
        <v>0</v>
      </c>
      <c r="C31" s="5">
        <v>0</v>
      </c>
      <c r="D31" s="5">
        <v>1</v>
      </c>
      <c r="E31" s="5">
        <v>231</v>
      </c>
      <c r="F31" s="5">
        <v>0</v>
      </c>
      <c r="G31" s="5" t="s">
        <v>133</v>
      </c>
      <c r="H31" s="5" t="s">
        <v>134</v>
      </c>
      <c r="I31" s="5"/>
      <c r="J31" s="5"/>
      <c r="K31" s="5">
        <v>231</v>
      </c>
      <c r="L31" s="5">
        <v>12</v>
      </c>
      <c r="M31" s="5">
        <v>3</v>
      </c>
      <c r="N31" s="5" t="s">
        <v>3</v>
      </c>
      <c r="O31" s="5">
        <v>2</v>
      </c>
      <c r="P31" s="5">
        <v>0</v>
      </c>
    </row>
    <row r="32" spans="1:40">
      <c r="A32" s="5">
        <v>50</v>
      </c>
      <c r="B32" s="5">
        <v>0</v>
      </c>
      <c r="C32" s="5">
        <v>0</v>
      </c>
      <c r="D32" s="5">
        <v>1</v>
      </c>
      <c r="E32" s="5">
        <v>204</v>
      </c>
      <c r="F32" s="5">
        <v>0</v>
      </c>
      <c r="G32" s="5" t="s">
        <v>135</v>
      </c>
      <c r="H32" s="5" t="s">
        <v>136</v>
      </c>
      <c r="I32" s="5"/>
      <c r="J32" s="5"/>
      <c r="K32" s="5">
        <v>204</v>
      </c>
      <c r="L32" s="5">
        <v>13</v>
      </c>
      <c r="M32" s="5">
        <v>3</v>
      </c>
      <c r="N32" s="5" t="s">
        <v>3</v>
      </c>
      <c r="O32" s="5">
        <v>2</v>
      </c>
      <c r="P32" s="5">
        <v>0</v>
      </c>
    </row>
    <row r="33" spans="1:16">
      <c r="A33" s="5">
        <v>50</v>
      </c>
      <c r="B33" s="5">
        <v>0</v>
      </c>
      <c r="C33" s="5">
        <v>0</v>
      </c>
      <c r="D33" s="5">
        <v>1</v>
      </c>
      <c r="E33" s="5">
        <v>205</v>
      </c>
      <c r="F33" s="5">
        <v>119327.95</v>
      </c>
      <c r="G33" s="5" t="s">
        <v>137</v>
      </c>
      <c r="H33" s="5" t="s">
        <v>138</v>
      </c>
      <c r="I33" s="5"/>
      <c r="J33" s="5"/>
      <c r="K33" s="5">
        <v>205</v>
      </c>
      <c r="L33" s="5">
        <v>14</v>
      </c>
      <c r="M33" s="5">
        <v>3</v>
      </c>
      <c r="N33" s="5" t="s">
        <v>3</v>
      </c>
      <c r="O33" s="5">
        <v>2</v>
      </c>
      <c r="P33" s="5">
        <v>4922.7699999999995</v>
      </c>
    </row>
    <row r="34" spans="1:16">
      <c r="A34" s="5">
        <v>50</v>
      </c>
      <c r="B34" s="5">
        <v>0</v>
      </c>
      <c r="C34" s="5">
        <v>0</v>
      </c>
      <c r="D34" s="5">
        <v>1</v>
      </c>
      <c r="E34" s="5">
        <v>232</v>
      </c>
      <c r="F34" s="5">
        <v>0</v>
      </c>
      <c r="G34" s="5" t="s">
        <v>139</v>
      </c>
      <c r="H34" s="5" t="s">
        <v>140</v>
      </c>
      <c r="I34" s="5"/>
      <c r="J34" s="5"/>
      <c r="K34" s="5">
        <v>232</v>
      </c>
      <c r="L34" s="5">
        <v>15</v>
      </c>
      <c r="M34" s="5">
        <v>3</v>
      </c>
      <c r="N34" s="5" t="s">
        <v>3</v>
      </c>
      <c r="O34" s="5">
        <v>2</v>
      </c>
      <c r="P34" s="5">
        <v>0</v>
      </c>
    </row>
    <row r="35" spans="1:16">
      <c r="A35" s="5">
        <v>50</v>
      </c>
      <c r="B35" s="5">
        <v>0</v>
      </c>
      <c r="C35" s="5">
        <v>0</v>
      </c>
      <c r="D35" s="5">
        <v>1</v>
      </c>
      <c r="E35" s="5">
        <v>214</v>
      </c>
      <c r="F35" s="5">
        <v>364757.36000000004</v>
      </c>
      <c r="G35" s="5" t="s">
        <v>141</v>
      </c>
      <c r="H35" s="5" t="s">
        <v>142</v>
      </c>
      <c r="I35" s="5"/>
      <c r="J35" s="5"/>
      <c r="K35" s="5">
        <v>214</v>
      </c>
      <c r="L35" s="5">
        <v>16</v>
      </c>
      <c r="M35" s="5">
        <v>3</v>
      </c>
      <c r="N35" s="5" t="s">
        <v>3</v>
      </c>
      <c r="O35" s="5">
        <v>2</v>
      </c>
      <c r="P35" s="5">
        <v>18950.490000000002</v>
      </c>
    </row>
    <row r="36" spans="1:16">
      <c r="A36" s="5">
        <v>50</v>
      </c>
      <c r="B36" s="5">
        <v>0</v>
      </c>
      <c r="C36" s="5">
        <v>0</v>
      </c>
      <c r="D36" s="5">
        <v>1</v>
      </c>
      <c r="E36" s="5">
        <v>215</v>
      </c>
      <c r="F36" s="5">
        <v>0</v>
      </c>
      <c r="G36" s="5" t="s">
        <v>143</v>
      </c>
      <c r="H36" s="5" t="s">
        <v>144</v>
      </c>
      <c r="I36" s="5"/>
      <c r="J36" s="5"/>
      <c r="K36" s="5">
        <v>215</v>
      </c>
      <c r="L36" s="5">
        <v>17</v>
      </c>
      <c r="M36" s="5">
        <v>3</v>
      </c>
      <c r="N36" s="5" t="s">
        <v>3</v>
      </c>
      <c r="O36" s="5">
        <v>2</v>
      </c>
      <c r="P36" s="5">
        <v>0</v>
      </c>
    </row>
    <row r="37" spans="1:16">
      <c r="A37" s="5">
        <v>50</v>
      </c>
      <c r="B37" s="5">
        <v>0</v>
      </c>
      <c r="C37" s="5">
        <v>0</v>
      </c>
      <c r="D37" s="5">
        <v>1</v>
      </c>
      <c r="E37" s="5">
        <v>217</v>
      </c>
      <c r="F37" s="5">
        <v>0</v>
      </c>
      <c r="G37" s="5" t="s">
        <v>145</v>
      </c>
      <c r="H37" s="5" t="s">
        <v>146</v>
      </c>
      <c r="I37" s="5"/>
      <c r="J37" s="5"/>
      <c r="K37" s="5">
        <v>217</v>
      </c>
      <c r="L37" s="5">
        <v>18</v>
      </c>
      <c r="M37" s="5">
        <v>3</v>
      </c>
      <c r="N37" s="5" t="s">
        <v>3</v>
      </c>
      <c r="O37" s="5">
        <v>2</v>
      </c>
      <c r="P37" s="5">
        <v>0</v>
      </c>
    </row>
    <row r="38" spans="1:16">
      <c r="A38" s="5">
        <v>50</v>
      </c>
      <c r="B38" s="5">
        <v>0</v>
      </c>
      <c r="C38" s="5">
        <v>0</v>
      </c>
      <c r="D38" s="5">
        <v>1</v>
      </c>
      <c r="E38" s="5">
        <v>230</v>
      </c>
      <c r="F38" s="5">
        <v>0</v>
      </c>
      <c r="G38" s="5" t="s">
        <v>147</v>
      </c>
      <c r="H38" s="5" t="s">
        <v>148</v>
      </c>
      <c r="I38" s="5"/>
      <c r="J38" s="5"/>
      <c r="K38" s="5">
        <v>230</v>
      </c>
      <c r="L38" s="5">
        <v>19</v>
      </c>
      <c r="M38" s="5">
        <v>3</v>
      </c>
      <c r="N38" s="5" t="s">
        <v>3</v>
      </c>
      <c r="O38" s="5">
        <v>2</v>
      </c>
      <c r="P38" s="5">
        <v>0</v>
      </c>
    </row>
    <row r="39" spans="1:16">
      <c r="A39" s="5">
        <v>50</v>
      </c>
      <c r="B39" s="5">
        <v>0</v>
      </c>
      <c r="C39" s="5">
        <v>0</v>
      </c>
      <c r="D39" s="5">
        <v>1</v>
      </c>
      <c r="E39" s="5">
        <v>206</v>
      </c>
      <c r="F39" s="5">
        <v>0</v>
      </c>
      <c r="G39" s="5" t="s">
        <v>149</v>
      </c>
      <c r="H39" s="5" t="s">
        <v>150</v>
      </c>
      <c r="I39" s="5"/>
      <c r="J39" s="5"/>
      <c r="K39" s="5">
        <v>206</v>
      </c>
      <c r="L39" s="5">
        <v>20</v>
      </c>
      <c r="M39" s="5">
        <v>3</v>
      </c>
      <c r="N39" s="5" t="s">
        <v>3</v>
      </c>
      <c r="O39" s="5">
        <v>2</v>
      </c>
      <c r="P39" s="5">
        <v>0</v>
      </c>
    </row>
    <row r="40" spans="1:16">
      <c r="A40" s="5">
        <v>50</v>
      </c>
      <c r="B40" s="5">
        <v>0</v>
      </c>
      <c r="C40" s="5">
        <v>0</v>
      </c>
      <c r="D40" s="5">
        <v>1</v>
      </c>
      <c r="E40" s="5">
        <v>207</v>
      </c>
      <c r="F40" s="5">
        <v>544.90200000000004</v>
      </c>
      <c r="G40" s="5" t="s">
        <v>151</v>
      </c>
      <c r="H40" s="5" t="s">
        <v>152</v>
      </c>
      <c r="I40" s="5"/>
      <c r="J40" s="5"/>
      <c r="K40" s="5">
        <v>207</v>
      </c>
      <c r="L40" s="5">
        <v>21</v>
      </c>
      <c r="M40" s="5">
        <v>3</v>
      </c>
      <c r="N40" s="5" t="s">
        <v>3</v>
      </c>
      <c r="O40" s="5">
        <v>-1</v>
      </c>
      <c r="P40" s="5">
        <v>544.90200000000004</v>
      </c>
    </row>
    <row r="41" spans="1:16">
      <c r="A41" s="5">
        <v>50</v>
      </c>
      <c r="B41" s="5">
        <v>0</v>
      </c>
      <c r="C41" s="5">
        <v>0</v>
      </c>
      <c r="D41" s="5">
        <v>1</v>
      </c>
      <c r="E41" s="5">
        <v>208</v>
      </c>
      <c r="F41" s="5">
        <v>0</v>
      </c>
      <c r="G41" s="5" t="s">
        <v>153</v>
      </c>
      <c r="H41" s="5" t="s">
        <v>154</v>
      </c>
      <c r="I41" s="5"/>
      <c r="J41" s="5"/>
      <c r="K41" s="5">
        <v>208</v>
      </c>
      <c r="L41" s="5">
        <v>22</v>
      </c>
      <c r="M41" s="5">
        <v>3</v>
      </c>
      <c r="N41" s="5" t="s">
        <v>3</v>
      </c>
      <c r="O41" s="5">
        <v>-1</v>
      </c>
      <c r="P41" s="5">
        <v>0</v>
      </c>
    </row>
    <row r="42" spans="1:16">
      <c r="A42" s="5">
        <v>50</v>
      </c>
      <c r="B42" s="5">
        <v>0</v>
      </c>
      <c r="C42" s="5">
        <v>0</v>
      </c>
      <c r="D42" s="5">
        <v>1</v>
      </c>
      <c r="E42" s="5">
        <v>209</v>
      </c>
      <c r="F42" s="5">
        <v>0</v>
      </c>
      <c r="G42" s="5" t="s">
        <v>155</v>
      </c>
      <c r="H42" s="5" t="s">
        <v>156</v>
      </c>
      <c r="I42" s="5"/>
      <c r="J42" s="5"/>
      <c r="K42" s="5">
        <v>209</v>
      </c>
      <c r="L42" s="5">
        <v>23</v>
      </c>
      <c r="M42" s="5">
        <v>3</v>
      </c>
      <c r="N42" s="5" t="s">
        <v>3</v>
      </c>
      <c r="O42" s="5">
        <v>2</v>
      </c>
      <c r="P42" s="5">
        <v>0</v>
      </c>
    </row>
    <row r="43" spans="1:16">
      <c r="A43" s="5">
        <v>50</v>
      </c>
      <c r="B43" s="5">
        <v>0</v>
      </c>
      <c r="C43" s="5">
        <v>0</v>
      </c>
      <c r="D43" s="5">
        <v>1</v>
      </c>
      <c r="E43" s="5">
        <v>233</v>
      </c>
      <c r="F43" s="5">
        <v>61183.14</v>
      </c>
      <c r="G43" s="5" t="s">
        <v>157</v>
      </c>
      <c r="H43" s="5" t="s">
        <v>158</v>
      </c>
      <c r="I43" s="5"/>
      <c r="J43" s="5"/>
      <c r="K43" s="5">
        <v>233</v>
      </c>
      <c r="L43" s="5">
        <v>24</v>
      </c>
      <c r="M43" s="5">
        <v>3</v>
      </c>
      <c r="N43" s="5" t="s">
        <v>3</v>
      </c>
      <c r="O43" s="5">
        <v>2</v>
      </c>
      <c r="P43" s="5">
        <v>6426.8</v>
      </c>
    </row>
    <row r="44" spans="1:16">
      <c r="A44" s="5">
        <v>50</v>
      </c>
      <c r="B44" s="5">
        <v>0</v>
      </c>
      <c r="C44" s="5">
        <v>0</v>
      </c>
      <c r="D44" s="5">
        <v>1</v>
      </c>
      <c r="E44" s="5">
        <v>210</v>
      </c>
      <c r="F44" s="5">
        <v>120761.84000000001</v>
      </c>
      <c r="G44" s="5" t="s">
        <v>159</v>
      </c>
      <c r="H44" s="5" t="s">
        <v>160</v>
      </c>
      <c r="I44" s="5"/>
      <c r="J44" s="5"/>
      <c r="K44" s="5">
        <v>210</v>
      </c>
      <c r="L44" s="5">
        <v>25</v>
      </c>
      <c r="M44" s="5">
        <v>3</v>
      </c>
      <c r="N44" s="5" t="s">
        <v>3</v>
      </c>
      <c r="O44" s="5">
        <v>2</v>
      </c>
      <c r="P44" s="5">
        <v>4981.92</v>
      </c>
    </row>
    <row r="45" spans="1:16">
      <c r="A45" s="5">
        <v>50</v>
      </c>
      <c r="B45" s="5">
        <v>0</v>
      </c>
      <c r="C45" s="5">
        <v>0</v>
      </c>
      <c r="D45" s="5">
        <v>1</v>
      </c>
      <c r="E45" s="5">
        <v>211</v>
      </c>
      <c r="F45" s="5">
        <v>63484.43</v>
      </c>
      <c r="G45" s="5" t="s">
        <v>161</v>
      </c>
      <c r="H45" s="5" t="s">
        <v>162</v>
      </c>
      <c r="I45" s="5"/>
      <c r="J45" s="5"/>
      <c r="K45" s="5">
        <v>211</v>
      </c>
      <c r="L45" s="5">
        <v>26</v>
      </c>
      <c r="M45" s="5">
        <v>3</v>
      </c>
      <c r="N45" s="5" t="s">
        <v>3</v>
      </c>
      <c r="O45" s="5">
        <v>2</v>
      </c>
      <c r="P45" s="5">
        <v>2619</v>
      </c>
    </row>
    <row r="46" spans="1:16">
      <c r="A46" s="5">
        <v>50</v>
      </c>
      <c r="B46" s="5">
        <v>0</v>
      </c>
      <c r="C46" s="5">
        <v>0</v>
      </c>
      <c r="D46" s="5">
        <v>1</v>
      </c>
      <c r="E46" s="5">
        <v>224</v>
      </c>
      <c r="F46" s="5">
        <v>364757.36</v>
      </c>
      <c r="G46" s="5" t="s">
        <v>163</v>
      </c>
      <c r="H46" s="5" t="s">
        <v>164</v>
      </c>
      <c r="I46" s="5"/>
      <c r="J46" s="5"/>
      <c r="K46" s="5">
        <v>224</v>
      </c>
      <c r="L46" s="5">
        <v>27</v>
      </c>
      <c r="M46" s="5">
        <v>3</v>
      </c>
      <c r="N46" s="5" t="s">
        <v>3</v>
      </c>
      <c r="O46" s="5">
        <v>2</v>
      </c>
      <c r="P46" s="5">
        <v>18950.489999999998</v>
      </c>
    </row>
    <row r="47" spans="1:16">
      <c r="A47" s="5">
        <v>50</v>
      </c>
      <c r="B47" s="5">
        <v>0</v>
      </c>
      <c r="C47" s="5">
        <v>0</v>
      </c>
      <c r="D47" s="5">
        <v>2</v>
      </c>
      <c r="E47" s="5">
        <v>0</v>
      </c>
      <c r="F47" s="5">
        <v>120761.84</v>
      </c>
      <c r="G47" s="5" t="s">
        <v>171</v>
      </c>
      <c r="H47" s="5" t="s">
        <v>160</v>
      </c>
      <c r="I47" s="5"/>
      <c r="J47" s="5"/>
      <c r="K47" s="5">
        <v>212</v>
      </c>
      <c r="L47" s="5">
        <v>28</v>
      </c>
      <c r="M47" s="5">
        <v>3</v>
      </c>
      <c r="N47" s="5" t="s">
        <v>3</v>
      </c>
      <c r="O47" s="5">
        <v>2</v>
      </c>
      <c r="P47" s="5">
        <v>4981.92</v>
      </c>
    </row>
    <row r="48" spans="1:16">
      <c r="A48" s="5">
        <v>50</v>
      </c>
      <c r="B48" s="5">
        <v>0</v>
      </c>
      <c r="C48" s="5">
        <v>0</v>
      </c>
      <c r="D48" s="5">
        <v>2</v>
      </c>
      <c r="E48" s="5">
        <v>0</v>
      </c>
      <c r="F48" s="5">
        <v>63484.43</v>
      </c>
      <c r="G48" s="5" t="s">
        <v>172</v>
      </c>
      <c r="H48" s="5" t="s">
        <v>162</v>
      </c>
      <c r="I48" s="5"/>
      <c r="J48" s="5"/>
      <c r="K48" s="5">
        <v>212</v>
      </c>
      <c r="L48" s="5">
        <v>29</v>
      </c>
      <c r="M48" s="5">
        <v>3</v>
      </c>
      <c r="N48" s="5" t="s">
        <v>3</v>
      </c>
      <c r="O48" s="5">
        <v>2</v>
      </c>
      <c r="P48" s="5">
        <v>2619</v>
      </c>
    </row>
    <row r="49" spans="1:40">
      <c r="A49" s="5">
        <v>50</v>
      </c>
      <c r="B49" s="5">
        <v>0</v>
      </c>
      <c r="C49" s="5">
        <v>0</v>
      </c>
      <c r="D49" s="5">
        <v>2</v>
      </c>
      <c r="E49" s="5">
        <v>0</v>
      </c>
      <c r="F49" s="5">
        <v>364757.36</v>
      </c>
      <c r="G49" s="5" t="s">
        <v>173</v>
      </c>
      <c r="H49" s="5" t="s">
        <v>174</v>
      </c>
      <c r="I49" s="5"/>
      <c r="J49" s="5"/>
      <c r="K49" s="5">
        <v>212</v>
      </c>
      <c r="L49" s="5">
        <v>30</v>
      </c>
      <c r="M49" s="5">
        <v>3</v>
      </c>
      <c r="N49" s="5" t="s">
        <v>3</v>
      </c>
      <c r="O49" s="5">
        <v>2</v>
      </c>
      <c r="P49" s="5">
        <v>18950.490000000002</v>
      </c>
    </row>
    <row r="50" spans="1:40">
      <c r="A50" s="5">
        <v>50</v>
      </c>
      <c r="B50" s="5">
        <v>1</v>
      </c>
      <c r="C50" s="5">
        <v>0</v>
      </c>
      <c r="D50" s="5">
        <v>2</v>
      </c>
      <c r="E50" s="5">
        <v>0</v>
      </c>
      <c r="F50" s="5">
        <v>7067207.8399999999</v>
      </c>
      <c r="G50" s="5" t="s">
        <v>165</v>
      </c>
      <c r="H50" s="5" t="s">
        <v>175</v>
      </c>
      <c r="I50" s="5"/>
      <c r="J50" s="5"/>
      <c r="K50" s="5">
        <v>212</v>
      </c>
      <c r="L50" s="5">
        <v>31</v>
      </c>
      <c r="M50" s="5">
        <v>0</v>
      </c>
      <c r="N50" s="5" t="s">
        <v>3</v>
      </c>
      <c r="O50" s="5">
        <v>2</v>
      </c>
      <c r="P50" s="5">
        <v>291551.5</v>
      </c>
    </row>
    <row r="51" spans="1:40">
      <c r="A51" s="5">
        <v>50</v>
      </c>
      <c r="B51" s="5">
        <v>1</v>
      </c>
      <c r="C51" s="5">
        <v>0</v>
      </c>
      <c r="D51" s="5">
        <v>2</v>
      </c>
      <c r="E51" s="5">
        <v>0</v>
      </c>
      <c r="F51" s="5">
        <v>140597.66</v>
      </c>
      <c r="G51" s="5" t="s">
        <v>167</v>
      </c>
      <c r="H51" s="5" t="s">
        <v>176</v>
      </c>
      <c r="I51" s="5"/>
      <c r="J51" s="5"/>
      <c r="K51" s="5">
        <v>212</v>
      </c>
      <c r="L51" s="5">
        <v>32</v>
      </c>
      <c r="M51" s="5">
        <v>0</v>
      </c>
      <c r="N51" s="5" t="s">
        <v>3</v>
      </c>
      <c r="O51" s="5">
        <v>2</v>
      </c>
      <c r="P51" s="5">
        <v>5800.23</v>
      </c>
    </row>
    <row r="52" spans="1:40">
      <c r="A52" s="5">
        <v>50</v>
      </c>
      <c r="B52" s="5">
        <v>1</v>
      </c>
      <c r="C52" s="5">
        <v>0</v>
      </c>
      <c r="D52" s="5">
        <v>2</v>
      </c>
      <c r="E52" s="5">
        <v>0</v>
      </c>
      <c r="F52" s="5">
        <v>7207805.5</v>
      </c>
      <c r="G52" s="5" t="s">
        <v>169</v>
      </c>
      <c r="H52" s="5" t="s">
        <v>170</v>
      </c>
      <c r="I52" s="5"/>
      <c r="J52" s="5"/>
      <c r="K52" s="5">
        <v>212</v>
      </c>
      <c r="L52" s="5">
        <v>33</v>
      </c>
      <c r="M52" s="5">
        <v>0</v>
      </c>
      <c r="N52" s="5" t="s">
        <v>3</v>
      </c>
      <c r="O52" s="5">
        <v>2</v>
      </c>
      <c r="P52" s="5">
        <v>297351.73</v>
      </c>
    </row>
    <row r="53" spans="1:40">
      <c r="A53" s="5">
        <v>50</v>
      </c>
      <c r="B53" s="5">
        <v>1</v>
      </c>
      <c r="C53" s="5">
        <v>0</v>
      </c>
      <c r="D53" s="5">
        <v>2</v>
      </c>
      <c r="E53" s="5">
        <v>213</v>
      </c>
      <c r="F53" s="5">
        <v>0</v>
      </c>
      <c r="G53" s="5" t="s">
        <v>177</v>
      </c>
      <c r="H53" s="5" t="s">
        <v>178</v>
      </c>
      <c r="I53" s="5"/>
      <c r="J53" s="5"/>
      <c r="K53" s="5">
        <v>212</v>
      </c>
      <c r="L53" s="5">
        <v>34</v>
      </c>
      <c r="M53" s="5">
        <v>0</v>
      </c>
      <c r="N53" s="5" t="s">
        <v>3</v>
      </c>
      <c r="O53" s="5">
        <v>2</v>
      </c>
      <c r="P53" s="5">
        <v>0</v>
      </c>
    </row>
    <row r="55" spans="1:40">
      <c r="A55">
        <v>-1</v>
      </c>
    </row>
    <row r="58" spans="1:40">
      <c r="A58" s="4">
        <v>75</v>
      </c>
      <c r="B58" s="4" t="s">
        <v>233</v>
      </c>
      <c r="C58" s="4">
        <v>2021</v>
      </c>
      <c r="D58" s="4">
        <v>4</v>
      </c>
      <c r="E58" s="4">
        <v>0</v>
      </c>
      <c r="F58" s="4"/>
      <c r="G58" s="4">
        <v>0</v>
      </c>
      <c r="H58" s="4">
        <v>1</v>
      </c>
      <c r="I58" s="4">
        <v>0</v>
      </c>
      <c r="J58" s="4">
        <v>1</v>
      </c>
      <c r="K58" s="4">
        <v>0</v>
      </c>
      <c r="L58" s="4">
        <v>0</v>
      </c>
      <c r="M58" s="4">
        <v>1</v>
      </c>
      <c r="N58" s="4">
        <v>73147422</v>
      </c>
      <c r="O58" s="4">
        <v>1</v>
      </c>
    </row>
    <row r="59" spans="1:40">
      <c r="A59" s="6">
        <v>3</v>
      </c>
      <c r="B59" s="6" t="s">
        <v>234</v>
      </c>
      <c r="C59" s="6">
        <v>9.52</v>
      </c>
      <c r="D59" s="6">
        <v>6.74</v>
      </c>
      <c r="E59" s="6">
        <v>9.52</v>
      </c>
      <c r="F59" s="6">
        <v>24.24</v>
      </c>
      <c r="G59" s="6">
        <v>24.24</v>
      </c>
      <c r="H59" s="6">
        <v>1</v>
      </c>
      <c r="I59" s="6">
        <v>6.74</v>
      </c>
      <c r="J59" s="6">
        <v>2</v>
      </c>
      <c r="K59" s="6">
        <v>24.24</v>
      </c>
      <c r="L59" s="6">
        <v>9.52</v>
      </c>
      <c r="M59" s="6">
        <v>9.52</v>
      </c>
      <c r="N59" s="6">
        <v>6.74</v>
      </c>
      <c r="O59" s="6">
        <v>1</v>
      </c>
      <c r="P59" s="6">
        <v>6.74</v>
      </c>
      <c r="Q59" s="6">
        <v>24.24</v>
      </c>
      <c r="R59" s="6">
        <v>9.52</v>
      </c>
      <c r="S59" s="6" t="s">
        <v>3</v>
      </c>
      <c r="T59" s="6" t="s">
        <v>3</v>
      </c>
      <c r="U59" s="6" t="s">
        <v>3</v>
      </c>
      <c r="V59" s="6" t="s">
        <v>3</v>
      </c>
      <c r="W59" s="6" t="s">
        <v>3</v>
      </c>
      <c r="X59" s="6" t="s">
        <v>3</v>
      </c>
      <c r="Y59" s="6" t="s">
        <v>3</v>
      </c>
      <c r="Z59" s="6" t="s">
        <v>3</v>
      </c>
      <c r="AA59" s="6" t="s">
        <v>3</v>
      </c>
      <c r="AB59" s="6" t="s">
        <v>3</v>
      </c>
      <c r="AC59" s="6" t="s">
        <v>3</v>
      </c>
      <c r="AD59" s="6" t="s">
        <v>3</v>
      </c>
      <c r="AE59" s="6" t="s">
        <v>3</v>
      </c>
      <c r="AF59" s="6" t="s">
        <v>3</v>
      </c>
      <c r="AG59" s="6" t="s">
        <v>3</v>
      </c>
      <c r="AH59" s="6" t="s">
        <v>3</v>
      </c>
      <c r="AI59" s="6"/>
      <c r="AJ59" s="6"/>
      <c r="AK59" s="6"/>
      <c r="AL59" s="6"/>
      <c r="AM59" s="6"/>
      <c r="AN59" s="6">
        <v>73147423</v>
      </c>
    </row>
    <row r="60" spans="1:40">
      <c r="A60" s="4">
        <v>75</v>
      </c>
      <c r="B60" s="4" t="s">
        <v>235</v>
      </c>
      <c r="C60" s="4">
        <v>2000</v>
      </c>
      <c r="D60" s="4">
        <v>0</v>
      </c>
      <c r="E60" s="4">
        <v>1</v>
      </c>
      <c r="F60" s="4">
        <v>0</v>
      </c>
      <c r="G60" s="4">
        <v>0</v>
      </c>
      <c r="H60" s="4">
        <v>1</v>
      </c>
      <c r="I60" s="4">
        <v>0</v>
      </c>
      <c r="J60" s="4">
        <v>3</v>
      </c>
      <c r="K60" s="4">
        <v>0</v>
      </c>
      <c r="L60" s="4">
        <v>0</v>
      </c>
      <c r="M60" s="4">
        <v>0</v>
      </c>
      <c r="N60" s="4">
        <v>73147424</v>
      </c>
      <c r="O60" s="4">
        <v>2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C66"/>
  <sheetViews>
    <sheetView workbookViewId="0"/>
  </sheetViews>
  <sheetFormatPr defaultColWidth="9.140625" defaultRowHeight="12.75"/>
  <cols>
    <col min="1" max="256" width="9.140625" customWidth="1"/>
  </cols>
  <sheetData>
    <row r="1" spans="1:107">
      <c r="A1">
        <f>ROW(Source!A24)</f>
        <v>24</v>
      </c>
      <c r="B1">
        <v>73147424</v>
      </c>
      <c r="C1">
        <v>73147485</v>
      </c>
      <c r="D1">
        <v>55597804</v>
      </c>
      <c r="E1">
        <v>58</v>
      </c>
      <c r="F1">
        <v>1</v>
      </c>
      <c r="G1">
        <v>1</v>
      </c>
      <c r="H1">
        <v>1</v>
      </c>
      <c r="I1" t="s">
        <v>237</v>
      </c>
      <c r="J1" t="s">
        <v>3</v>
      </c>
      <c r="K1" t="s">
        <v>238</v>
      </c>
      <c r="L1">
        <v>1191</v>
      </c>
      <c r="N1">
        <v>1013</v>
      </c>
      <c r="O1" t="s">
        <v>239</v>
      </c>
      <c r="P1" t="s">
        <v>239</v>
      </c>
      <c r="Q1">
        <v>1</v>
      </c>
      <c r="W1">
        <v>0</v>
      </c>
      <c r="X1">
        <v>145020957</v>
      </c>
      <c r="Y1">
        <v>2.88</v>
      </c>
      <c r="AA1">
        <v>0</v>
      </c>
      <c r="AB1">
        <v>0</v>
      </c>
      <c r="AC1">
        <v>0</v>
      </c>
      <c r="AD1">
        <v>9.07</v>
      </c>
      <c r="AE1">
        <v>0</v>
      </c>
      <c r="AF1">
        <v>0</v>
      </c>
      <c r="AG1">
        <v>0</v>
      </c>
      <c r="AH1">
        <v>9.07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2.88</v>
      </c>
      <c r="AU1" t="s">
        <v>3</v>
      </c>
      <c r="AV1">
        <v>1</v>
      </c>
      <c r="AW1">
        <v>2</v>
      </c>
      <c r="AX1">
        <v>73147487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Y1*Source!I24</f>
        <v>85.334399999999988</v>
      </c>
      <c r="CY1">
        <f t="shared" ref="CY1:CY12" si="0">AD1</f>
        <v>9.07</v>
      </c>
      <c r="CZ1">
        <f t="shared" ref="CZ1:CZ12" si="1">AH1</f>
        <v>9.07</v>
      </c>
      <c r="DA1">
        <f t="shared" ref="DA1:DA12" si="2">AL1</f>
        <v>1</v>
      </c>
      <c r="DB1">
        <f t="shared" ref="DB1:DB32" si="3">ROUND(ROUND(AT1*CZ1,2),2)</f>
        <v>26.12</v>
      </c>
      <c r="DC1">
        <f t="shared" ref="DC1:DC32" si="4">ROUND(ROUND(AT1*AG1,2),2)</f>
        <v>0</v>
      </c>
    </row>
    <row r="2" spans="1:107">
      <c r="A2">
        <f>ROW(Source!A25)</f>
        <v>25</v>
      </c>
      <c r="B2">
        <v>73147422</v>
      </c>
      <c r="C2">
        <v>73147485</v>
      </c>
      <c r="D2">
        <v>55597804</v>
      </c>
      <c r="E2">
        <v>58</v>
      </c>
      <c r="F2">
        <v>1</v>
      </c>
      <c r="G2">
        <v>1</v>
      </c>
      <c r="H2">
        <v>1</v>
      </c>
      <c r="I2" t="s">
        <v>237</v>
      </c>
      <c r="J2" t="s">
        <v>3</v>
      </c>
      <c r="K2" t="s">
        <v>238</v>
      </c>
      <c r="L2">
        <v>1191</v>
      </c>
      <c r="N2">
        <v>1013</v>
      </c>
      <c r="O2" t="s">
        <v>239</v>
      </c>
      <c r="P2" t="s">
        <v>239</v>
      </c>
      <c r="Q2">
        <v>1</v>
      </c>
      <c r="W2">
        <v>0</v>
      </c>
      <c r="X2">
        <v>145020957</v>
      </c>
      <c r="Y2">
        <v>2.88</v>
      </c>
      <c r="AA2">
        <v>0</v>
      </c>
      <c r="AB2">
        <v>0</v>
      </c>
      <c r="AC2">
        <v>0</v>
      </c>
      <c r="AD2">
        <v>219.86</v>
      </c>
      <c r="AE2">
        <v>0</v>
      </c>
      <c r="AF2">
        <v>0</v>
      </c>
      <c r="AG2">
        <v>0</v>
      </c>
      <c r="AH2">
        <v>9.07</v>
      </c>
      <c r="AI2">
        <v>1</v>
      </c>
      <c r="AJ2">
        <v>1</v>
      </c>
      <c r="AK2">
        <v>1</v>
      </c>
      <c r="AL2">
        <v>24.24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2.88</v>
      </c>
      <c r="AU2" t="s">
        <v>3</v>
      </c>
      <c r="AV2">
        <v>1</v>
      </c>
      <c r="AW2">
        <v>2</v>
      </c>
      <c r="AX2">
        <v>73147487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Y2*Source!I25</f>
        <v>85.334399999999988</v>
      </c>
      <c r="CY2">
        <f t="shared" si="0"/>
        <v>219.86</v>
      </c>
      <c r="CZ2">
        <f t="shared" si="1"/>
        <v>9.07</v>
      </c>
      <c r="DA2">
        <f t="shared" si="2"/>
        <v>24.24</v>
      </c>
      <c r="DB2">
        <f t="shared" si="3"/>
        <v>26.12</v>
      </c>
      <c r="DC2">
        <f t="shared" si="4"/>
        <v>0</v>
      </c>
    </row>
    <row r="3" spans="1:107">
      <c r="A3">
        <f>ROW(Source!A26)</f>
        <v>26</v>
      </c>
      <c r="B3">
        <v>73147424</v>
      </c>
      <c r="C3">
        <v>73147488</v>
      </c>
      <c r="D3">
        <v>55597804</v>
      </c>
      <c r="E3">
        <v>58</v>
      </c>
      <c r="F3">
        <v>1</v>
      </c>
      <c r="G3">
        <v>1</v>
      </c>
      <c r="H3">
        <v>1</v>
      </c>
      <c r="I3" t="s">
        <v>237</v>
      </c>
      <c r="J3" t="s">
        <v>3</v>
      </c>
      <c r="K3" t="s">
        <v>238</v>
      </c>
      <c r="L3">
        <v>1191</v>
      </c>
      <c r="N3">
        <v>1013</v>
      </c>
      <c r="O3" t="s">
        <v>239</v>
      </c>
      <c r="P3" t="s">
        <v>239</v>
      </c>
      <c r="Q3">
        <v>1</v>
      </c>
      <c r="W3">
        <v>0</v>
      </c>
      <c r="X3">
        <v>145020957</v>
      </c>
      <c r="Y3">
        <v>2.4700000000000002</v>
      </c>
      <c r="AA3">
        <v>0</v>
      </c>
      <c r="AB3">
        <v>0</v>
      </c>
      <c r="AC3">
        <v>0</v>
      </c>
      <c r="AD3">
        <v>9.07</v>
      </c>
      <c r="AE3">
        <v>0</v>
      </c>
      <c r="AF3">
        <v>0</v>
      </c>
      <c r="AG3">
        <v>0</v>
      </c>
      <c r="AH3">
        <v>9.07</v>
      </c>
      <c r="AI3">
        <v>1</v>
      </c>
      <c r="AJ3">
        <v>1</v>
      </c>
      <c r="AK3">
        <v>1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2.4700000000000002</v>
      </c>
      <c r="AU3" t="s">
        <v>3</v>
      </c>
      <c r="AV3">
        <v>1</v>
      </c>
      <c r="AW3">
        <v>2</v>
      </c>
      <c r="AX3">
        <v>73147490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Y3*Source!I26</f>
        <v>185.34880000000004</v>
      </c>
      <c r="CY3">
        <f t="shared" si="0"/>
        <v>9.07</v>
      </c>
      <c r="CZ3">
        <f t="shared" si="1"/>
        <v>9.07</v>
      </c>
      <c r="DA3">
        <f t="shared" si="2"/>
        <v>1</v>
      </c>
      <c r="DB3">
        <f t="shared" si="3"/>
        <v>22.4</v>
      </c>
      <c r="DC3">
        <f t="shared" si="4"/>
        <v>0</v>
      </c>
    </row>
    <row r="4" spans="1:107">
      <c r="A4">
        <f>ROW(Source!A27)</f>
        <v>27</v>
      </c>
      <c r="B4">
        <v>73147422</v>
      </c>
      <c r="C4">
        <v>73147488</v>
      </c>
      <c r="D4">
        <v>55597804</v>
      </c>
      <c r="E4">
        <v>58</v>
      </c>
      <c r="F4">
        <v>1</v>
      </c>
      <c r="G4">
        <v>1</v>
      </c>
      <c r="H4">
        <v>1</v>
      </c>
      <c r="I4" t="s">
        <v>237</v>
      </c>
      <c r="J4" t="s">
        <v>3</v>
      </c>
      <c r="K4" t="s">
        <v>238</v>
      </c>
      <c r="L4">
        <v>1191</v>
      </c>
      <c r="N4">
        <v>1013</v>
      </c>
      <c r="O4" t="s">
        <v>239</v>
      </c>
      <c r="P4" t="s">
        <v>239</v>
      </c>
      <c r="Q4">
        <v>1</v>
      </c>
      <c r="W4">
        <v>0</v>
      </c>
      <c r="X4">
        <v>145020957</v>
      </c>
      <c r="Y4">
        <v>2.4700000000000002</v>
      </c>
      <c r="AA4">
        <v>0</v>
      </c>
      <c r="AB4">
        <v>0</v>
      </c>
      <c r="AC4">
        <v>0</v>
      </c>
      <c r="AD4">
        <v>219.86</v>
      </c>
      <c r="AE4">
        <v>0</v>
      </c>
      <c r="AF4">
        <v>0</v>
      </c>
      <c r="AG4">
        <v>0</v>
      </c>
      <c r="AH4">
        <v>9.07</v>
      </c>
      <c r="AI4">
        <v>1</v>
      </c>
      <c r="AJ4">
        <v>1</v>
      </c>
      <c r="AK4">
        <v>1</v>
      </c>
      <c r="AL4">
        <v>24.24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2.4700000000000002</v>
      </c>
      <c r="AU4" t="s">
        <v>3</v>
      </c>
      <c r="AV4">
        <v>1</v>
      </c>
      <c r="AW4">
        <v>2</v>
      </c>
      <c r="AX4">
        <v>73147490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Y4*Source!I27</f>
        <v>185.34880000000004</v>
      </c>
      <c r="CY4">
        <f t="shared" si="0"/>
        <v>219.86</v>
      </c>
      <c r="CZ4">
        <f t="shared" si="1"/>
        <v>9.07</v>
      </c>
      <c r="DA4">
        <f t="shared" si="2"/>
        <v>24.24</v>
      </c>
      <c r="DB4">
        <f t="shared" si="3"/>
        <v>22.4</v>
      </c>
      <c r="DC4">
        <f t="shared" si="4"/>
        <v>0</v>
      </c>
    </row>
    <row r="5" spans="1:107">
      <c r="A5">
        <f>ROW(Source!A28)</f>
        <v>28</v>
      </c>
      <c r="B5">
        <v>73147424</v>
      </c>
      <c r="C5">
        <v>73147498</v>
      </c>
      <c r="D5">
        <v>55597804</v>
      </c>
      <c r="E5">
        <v>58</v>
      </c>
      <c r="F5">
        <v>1</v>
      </c>
      <c r="G5">
        <v>1</v>
      </c>
      <c r="H5">
        <v>1</v>
      </c>
      <c r="I5" t="s">
        <v>237</v>
      </c>
      <c r="J5" t="s">
        <v>3</v>
      </c>
      <c r="K5" t="s">
        <v>238</v>
      </c>
      <c r="L5">
        <v>1191</v>
      </c>
      <c r="N5">
        <v>1013</v>
      </c>
      <c r="O5" t="s">
        <v>239</v>
      </c>
      <c r="P5" t="s">
        <v>239</v>
      </c>
      <c r="Q5">
        <v>1</v>
      </c>
      <c r="W5">
        <v>0</v>
      </c>
      <c r="X5">
        <v>145020957</v>
      </c>
      <c r="Y5">
        <v>2.16</v>
      </c>
      <c r="AA5">
        <v>0</v>
      </c>
      <c r="AB5">
        <v>0</v>
      </c>
      <c r="AC5">
        <v>0</v>
      </c>
      <c r="AD5">
        <v>9.07</v>
      </c>
      <c r="AE5">
        <v>0</v>
      </c>
      <c r="AF5">
        <v>0</v>
      </c>
      <c r="AG5">
        <v>0</v>
      </c>
      <c r="AH5">
        <v>9.07</v>
      </c>
      <c r="AI5">
        <v>1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2.16</v>
      </c>
      <c r="AU5" t="s">
        <v>3</v>
      </c>
      <c r="AV5">
        <v>1</v>
      </c>
      <c r="AW5">
        <v>2</v>
      </c>
      <c r="AX5">
        <v>73147500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Y5*Source!I28</f>
        <v>229.58640000000003</v>
      </c>
      <c r="CY5">
        <f t="shared" si="0"/>
        <v>9.07</v>
      </c>
      <c r="CZ5">
        <f t="shared" si="1"/>
        <v>9.07</v>
      </c>
      <c r="DA5">
        <f t="shared" si="2"/>
        <v>1</v>
      </c>
      <c r="DB5">
        <f t="shared" si="3"/>
        <v>19.59</v>
      </c>
      <c r="DC5">
        <f t="shared" si="4"/>
        <v>0</v>
      </c>
    </row>
    <row r="6" spans="1:107">
      <c r="A6">
        <f>ROW(Source!A29)</f>
        <v>29</v>
      </c>
      <c r="B6">
        <v>73147422</v>
      </c>
      <c r="C6">
        <v>73147498</v>
      </c>
      <c r="D6">
        <v>55597804</v>
      </c>
      <c r="E6">
        <v>58</v>
      </c>
      <c r="F6">
        <v>1</v>
      </c>
      <c r="G6">
        <v>1</v>
      </c>
      <c r="H6">
        <v>1</v>
      </c>
      <c r="I6" t="s">
        <v>237</v>
      </c>
      <c r="J6" t="s">
        <v>3</v>
      </c>
      <c r="K6" t="s">
        <v>238</v>
      </c>
      <c r="L6">
        <v>1191</v>
      </c>
      <c r="N6">
        <v>1013</v>
      </c>
      <c r="O6" t="s">
        <v>239</v>
      </c>
      <c r="P6" t="s">
        <v>239</v>
      </c>
      <c r="Q6">
        <v>1</v>
      </c>
      <c r="W6">
        <v>0</v>
      </c>
      <c r="X6">
        <v>145020957</v>
      </c>
      <c r="Y6">
        <v>2.16</v>
      </c>
      <c r="AA6">
        <v>0</v>
      </c>
      <c r="AB6">
        <v>0</v>
      </c>
      <c r="AC6">
        <v>0</v>
      </c>
      <c r="AD6">
        <v>219.86</v>
      </c>
      <c r="AE6">
        <v>0</v>
      </c>
      <c r="AF6">
        <v>0</v>
      </c>
      <c r="AG6">
        <v>0</v>
      </c>
      <c r="AH6">
        <v>9.07</v>
      </c>
      <c r="AI6">
        <v>1</v>
      </c>
      <c r="AJ6">
        <v>1</v>
      </c>
      <c r="AK6">
        <v>1</v>
      </c>
      <c r="AL6">
        <v>24.24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2.16</v>
      </c>
      <c r="AU6" t="s">
        <v>3</v>
      </c>
      <c r="AV6">
        <v>1</v>
      </c>
      <c r="AW6">
        <v>2</v>
      </c>
      <c r="AX6">
        <v>73147500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Y6*Source!I29</f>
        <v>229.58640000000003</v>
      </c>
      <c r="CY6">
        <f t="shared" si="0"/>
        <v>219.86</v>
      </c>
      <c r="CZ6">
        <f t="shared" si="1"/>
        <v>9.07</v>
      </c>
      <c r="DA6">
        <f t="shared" si="2"/>
        <v>24.24</v>
      </c>
      <c r="DB6">
        <f t="shared" si="3"/>
        <v>19.59</v>
      </c>
      <c r="DC6">
        <f t="shared" si="4"/>
        <v>0</v>
      </c>
    </row>
    <row r="7" spans="1:107">
      <c r="A7">
        <f>ROW(Source!A30)</f>
        <v>30</v>
      </c>
      <c r="B7">
        <v>73147424</v>
      </c>
      <c r="C7">
        <v>73147501</v>
      </c>
      <c r="D7">
        <v>55597804</v>
      </c>
      <c r="E7">
        <v>58</v>
      </c>
      <c r="F7">
        <v>1</v>
      </c>
      <c r="G7">
        <v>1</v>
      </c>
      <c r="H7">
        <v>1</v>
      </c>
      <c r="I7" t="s">
        <v>237</v>
      </c>
      <c r="J7" t="s">
        <v>3</v>
      </c>
      <c r="K7" t="s">
        <v>238</v>
      </c>
      <c r="L7">
        <v>1191</v>
      </c>
      <c r="N7">
        <v>1013</v>
      </c>
      <c r="O7" t="s">
        <v>239</v>
      </c>
      <c r="P7" t="s">
        <v>239</v>
      </c>
      <c r="Q7">
        <v>1</v>
      </c>
      <c r="W7">
        <v>0</v>
      </c>
      <c r="X7">
        <v>145020957</v>
      </c>
      <c r="Y7">
        <v>1.96</v>
      </c>
      <c r="AA7">
        <v>0</v>
      </c>
      <c r="AB7">
        <v>0</v>
      </c>
      <c r="AC7">
        <v>0</v>
      </c>
      <c r="AD7">
        <v>9.07</v>
      </c>
      <c r="AE7">
        <v>0</v>
      </c>
      <c r="AF7">
        <v>0</v>
      </c>
      <c r="AG7">
        <v>0</v>
      </c>
      <c r="AH7">
        <v>9.07</v>
      </c>
      <c r="AI7">
        <v>1</v>
      </c>
      <c r="AJ7">
        <v>1</v>
      </c>
      <c r="AK7">
        <v>1</v>
      </c>
      <c r="AL7">
        <v>1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</v>
      </c>
      <c r="AT7">
        <v>1.96</v>
      </c>
      <c r="AU7" t="s">
        <v>3</v>
      </c>
      <c r="AV7">
        <v>1</v>
      </c>
      <c r="AW7">
        <v>2</v>
      </c>
      <c r="AX7">
        <v>73147503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Y7*Source!I30</f>
        <v>9.192400000000001</v>
      </c>
      <c r="CY7">
        <f t="shared" si="0"/>
        <v>9.07</v>
      </c>
      <c r="CZ7">
        <f t="shared" si="1"/>
        <v>9.07</v>
      </c>
      <c r="DA7">
        <f t="shared" si="2"/>
        <v>1</v>
      </c>
      <c r="DB7">
        <f t="shared" si="3"/>
        <v>17.78</v>
      </c>
      <c r="DC7">
        <f t="shared" si="4"/>
        <v>0</v>
      </c>
    </row>
    <row r="8" spans="1:107">
      <c r="A8">
        <f>ROW(Source!A31)</f>
        <v>31</v>
      </c>
      <c r="B8">
        <v>73147422</v>
      </c>
      <c r="C8">
        <v>73147501</v>
      </c>
      <c r="D8">
        <v>55597804</v>
      </c>
      <c r="E8">
        <v>58</v>
      </c>
      <c r="F8">
        <v>1</v>
      </c>
      <c r="G8">
        <v>1</v>
      </c>
      <c r="H8">
        <v>1</v>
      </c>
      <c r="I8" t="s">
        <v>237</v>
      </c>
      <c r="J8" t="s">
        <v>3</v>
      </c>
      <c r="K8" t="s">
        <v>238</v>
      </c>
      <c r="L8">
        <v>1191</v>
      </c>
      <c r="N8">
        <v>1013</v>
      </c>
      <c r="O8" t="s">
        <v>239</v>
      </c>
      <c r="P8" t="s">
        <v>239</v>
      </c>
      <c r="Q8">
        <v>1</v>
      </c>
      <c r="W8">
        <v>0</v>
      </c>
      <c r="X8">
        <v>145020957</v>
      </c>
      <c r="Y8">
        <v>1.96</v>
      </c>
      <c r="AA8">
        <v>0</v>
      </c>
      <c r="AB8">
        <v>0</v>
      </c>
      <c r="AC8">
        <v>0</v>
      </c>
      <c r="AD8">
        <v>219.86</v>
      </c>
      <c r="AE8">
        <v>0</v>
      </c>
      <c r="AF8">
        <v>0</v>
      </c>
      <c r="AG8">
        <v>0</v>
      </c>
      <c r="AH8">
        <v>9.07</v>
      </c>
      <c r="AI8">
        <v>1</v>
      </c>
      <c r="AJ8">
        <v>1</v>
      </c>
      <c r="AK8">
        <v>1</v>
      </c>
      <c r="AL8">
        <v>24.24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1.96</v>
      </c>
      <c r="AU8" t="s">
        <v>3</v>
      </c>
      <c r="AV8">
        <v>1</v>
      </c>
      <c r="AW8">
        <v>2</v>
      </c>
      <c r="AX8">
        <v>73147503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Y8*Source!I31</f>
        <v>9.192400000000001</v>
      </c>
      <c r="CY8">
        <f t="shared" si="0"/>
        <v>219.86</v>
      </c>
      <c r="CZ8">
        <f t="shared" si="1"/>
        <v>9.07</v>
      </c>
      <c r="DA8">
        <f t="shared" si="2"/>
        <v>24.24</v>
      </c>
      <c r="DB8">
        <f t="shared" si="3"/>
        <v>17.78</v>
      </c>
      <c r="DC8">
        <f t="shared" si="4"/>
        <v>0</v>
      </c>
    </row>
    <row r="9" spans="1:107">
      <c r="A9">
        <f>ROW(Source!A32)</f>
        <v>32</v>
      </c>
      <c r="B9">
        <v>73147424</v>
      </c>
      <c r="C9">
        <v>73147507</v>
      </c>
      <c r="D9">
        <v>55597788</v>
      </c>
      <c r="E9">
        <v>58</v>
      </c>
      <c r="F9">
        <v>1</v>
      </c>
      <c r="G9">
        <v>1</v>
      </c>
      <c r="H9">
        <v>1</v>
      </c>
      <c r="I9" t="s">
        <v>240</v>
      </c>
      <c r="J9" t="s">
        <v>3</v>
      </c>
      <c r="K9" t="s">
        <v>241</v>
      </c>
      <c r="L9">
        <v>1191</v>
      </c>
      <c r="N9">
        <v>1013</v>
      </c>
      <c r="O9" t="s">
        <v>239</v>
      </c>
      <c r="P9" t="s">
        <v>239</v>
      </c>
      <c r="Q9">
        <v>1</v>
      </c>
      <c r="W9">
        <v>0</v>
      </c>
      <c r="X9">
        <v>-400197608</v>
      </c>
      <c r="Y9">
        <v>4.43</v>
      </c>
      <c r="AA9">
        <v>0</v>
      </c>
      <c r="AB9">
        <v>0</v>
      </c>
      <c r="AC9">
        <v>0</v>
      </c>
      <c r="AD9">
        <v>8.5299999999999994</v>
      </c>
      <c r="AE9">
        <v>0</v>
      </c>
      <c r="AF9">
        <v>0</v>
      </c>
      <c r="AG9">
        <v>0</v>
      </c>
      <c r="AH9">
        <v>8.5299999999999994</v>
      </c>
      <c r="AI9">
        <v>1</v>
      </c>
      <c r="AJ9">
        <v>1</v>
      </c>
      <c r="AK9">
        <v>1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4.43</v>
      </c>
      <c r="AU9" t="s">
        <v>3</v>
      </c>
      <c r="AV9">
        <v>1</v>
      </c>
      <c r="AW9">
        <v>2</v>
      </c>
      <c r="AX9">
        <v>73147509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Y9*Source!I32</f>
        <v>35.44</v>
      </c>
      <c r="CY9">
        <f t="shared" si="0"/>
        <v>8.5299999999999994</v>
      </c>
      <c r="CZ9">
        <f t="shared" si="1"/>
        <v>8.5299999999999994</v>
      </c>
      <c r="DA9">
        <f t="shared" si="2"/>
        <v>1</v>
      </c>
      <c r="DB9">
        <f t="shared" si="3"/>
        <v>37.79</v>
      </c>
      <c r="DC9">
        <f t="shared" si="4"/>
        <v>0</v>
      </c>
    </row>
    <row r="10" spans="1:107">
      <c r="A10">
        <f>ROW(Source!A33)</f>
        <v>33</v>
      </c>
      <c r="B10">
        <v>73147422</v>
      </c>
      <c r="C10">
        <v>73147507</v>
      </c>
      <c r="D10">
        <v>55597788</v>
      </c>
      <c r="E10">
        <v>58</v>
      </c>
      <c r="F10">
        <v>1</v>
      </c>
      <c r="G10">
        <v>1</v>
      </c>
      <c r="H10">
        <v>1</v>
      </c>
      <c r="I10" t="s">
        <v>240</v>
      </c>
      <c r="J10" t="s">
        <v>3</v>
      </c>
      <c r="K10" t="s">
        <v>241</v>
      </c>
      <c r="L10">
        <v>1191</v>
      </c>
      <c r="N10">
        <v>1013</v>
      </c>
      <c r="O10" t="s">
        <v>239</v>
      </c>
      <c r="P10" t="s">
        <v>239</v>
      </c>
      <c r="Q10">
        <v>1</v>
      </c>
      <c r="W10">
        <v>0</v>
      </c>
      <c r="X10">
        <v>-400197608</v>
      </c>
      <c r="Y10">
        <v>4.43</v>
      </c>
      <c r="AA10">
        <v>0</v>
      </c>
      <c r="AB10">
        <v>0</v>
      </c>
      <c r="AC10">
        <v>0</v>
      </c>
      <c r="AD10">
        <v>206.77</v>
      </c>
      <c r="AE10">
        <v>0</v>
      </c>
      <c r="AF10">
        <v>0</v>
      </c>
      <c r="AG10">
        <v>0</v>
      </c>
      <c r="AH10">
        <v>8.5299999999999994</v>
      </c>
      <c r="AI10">
        <v>1</v>
      </c>
      <c r="AJ10">
        <v>1</v>
      </c>
      <c r="AK10">
        <v>1</v>
      </c>
      <c r="AL10">
        <v>24.24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4.43</v>
      </c>
      <c r="AU10" t="s">
        <v>3</v>
      </c>
      <c r="AV10">
        <v>1</v>
      </c>
      <c r="AW10">
        <v>2</v>
      </c>
      <c r="AX10">
        <v>73147509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Y10*Source!I33</f>
        <v>35.44</v>
      </c>
      <c r="CY10">
        <f t="shared" si="0"/>
        <v>206.77</v>
      </c>
      <c r="CZ10">
        <f t="shared" si="1"/>
        <v>8.5299999999999994</v>
      </c>
      <c r="DA10">
        <f t="shared" si="2"/>
        <v>24.24</v>
      </c>
      <c r="DB10">
        <f t="shared" si="3"/>
        <v>37.79</v>
      </c>
      <c r="DC10">
        <f t="shared" si="4"/>
        <v>0</v>
      </c>
    </row>
    <row r="11" spans="1:107">
      <c r="A11">
        <f>ROW(Source!A38)</f>
        <v>38</v>
      </c>
      <c r="B11">
        <v>73147424</v>
      </c>
      <c r="C11">
        <v>73147491</v>
      </c>
      <c r="D11">
        <v>44294396</v>
      </c>
      <c r="E11">
        <v>28876687</v>
      </c>
      <c r="F11">
        <v>1</v>
      </c>
      <c r="G11">
        <v>1</v>
      </c>
      <c r="H11">
        <v>1</v>
      </c>
      <c r="I11" t="s">
        <v>237</v>
      </c>
      <c r="J11" t="s">
        <v>3</v>
      </c>
      <c r="K11" t="s">
        <v>238</v>
      </c>
      <c r="L11">
        <v>1191</v>
      </c>
      <c r="N11">
        <v>1013</v>
      </c>
      <c r="O11" t="s">
        <v>239</v>
      </c>
      <c r="P11" t="s">
        <v>239</v>
      </c>
      <c r="Q11">
        <v>1</v>
      </c>
      <c r="W11">
        <v>0</v>
      </c>
      <c r="X11">
        <v>145020957</v>
      </c>
      <c r="Y11">
        <v>3.04</v>
      </c>
      <c r="AA11">
        <v>0</v>
      </c>
      <c r="AB11">
        <v>0</v>
      </c>
      <c r="AC11">
        <v>0</v>
      </c>
      <c r="AD11">
        <v>9.07</v>
      </c>
      <c r="AE11">
        <v>0</v>
      </c>
      <c r="AF11">
        <v>0</v>
      </c>
      <c r="AG11">
        <v>0</v>
      </c>
      <c r="AH11">
        <v>9.07</v>
      </c>
      <c r="AI11">
        <v>1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3.04</v>
      </c>
      <c r="AU11" t="s">
        <v>3</v>
      </c>
      <c r="AV11">
        <v>1</v>
      </c>
      <c r="AW11">
        <v>2</v>
      </c>
      <c r="AX11">
        <v>73147495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Y11*Source!I38</f>
        <v>0</v>
      </c>
      <c r="CY11">
        <f t="shared" si="0"/>
        <v>9.07</v>
      </c>
      <c r="CZ11">
        <f t="shared" si="1"/>
        <v>9.07</v>
      </c>
      <c r="DA11">
        <f t="shared" si="2"/>
        <v>1</v>
      </c>
      <c r="DB11">
        <f t="shared" si="3"/>
        <v>27.57</v>
      </c>
      <c r="DC11">
        <f t="shared" si="4"/>
        <v>0</v>
      </c>
    </row>
    <row r="12" spans="1:107">
      <c r="A12">
        <f>ROW(Source!A38)</f>
        <v>38</v>
      </c>
      <c r="B12">
        <v>73147424</v>
      </c>
      <c r="C12">
        <v>73147491</v>
      </c>
      <c r="D12">
        <v>44294492</v>
      </c>
      <c r="E12">
        <v>28876687</v>
      </c>
      <c r="F12">
        <v>1</v>
      </c>
      <c r="G12">
        <v>1</v>
      </c>
      <c r="H12">
        <v>1</v>
      </c>
      <c r="I12" t="s">
        <v>242</v>
      </c>
      <c r="J12" t="s">
        <v>3</v>
      </c>
      <c r="K12" t="s">
        <v>243</v>
      </c>
      <c r="L12">
        <v>1191</v>
      </c>
      <c r="N12">
        <v>1013</v>
      </c>
      <c r="O12" t="s">
        <v>239</v>
      </c>
      <c r="P12" t="s">
        <v>239</v>
      </c>
      <c r="Q12">
        <v>1</v>
      </c>
      <c r="W12">
        <v>0</v>
      </c>
      <c r="X12">
        <v>-2136365698</v>
      </c>
      <c r="Y12">
        <v>1.48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1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1.48</v>
      </c>
      <c r="AU12" t="s">
        <v>3</v>
      </c>
      <c r="AV12">
        <v>1</v>
      </c>
      <c r="AW12">
        <v>2</v>
      </c>
      <c r="AX12">
        <v>73147496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Y12*Source!I38</f>
        <v>0</v>
      </c>
      <c r="CY12">
        <f t="shared" si="0"/>
        <v>0</v>
      </c>
      <c r="CZ12">
        <f t="shared" si="1"/>
        <v>0</v>
      </c>
      <c r="DA12">
        <f t="shared" si="2"/>
        <v>1</v>
      </c>
      <c r="DB12">
        <f t="shared" si="3"/>
        <v>0</v>
      </c>
      <c r="DC12">
        <f t="shared" si="4"/>
        <v>0</v>
      </c>
    </row>
    <row r="13" spans="1:107">
      <c r="A13">
        <f>ROW(Source!A38)</f>
        <v>38</v>
      </c>
      <c r="B13">
        <v>73147424</v>
      </c>
      <c r="C13">
        <v>73147491</v>
      </c>
      <c r="D13">
        <v>44508999</v>
      </c>
      <c r="E13">
        <v>1</v>
      </c>
      <c r="F13">
        <v>1</v>
      </c>
      <c r="G13">
        <v>1</v>
      </c>
      <c r="H13">
        <v>2</v>
      </c>
      <c r="I13" t="s">
        <v>244</v>
      </c>
      <c r="J13" t="s">
        <v>245</v>
      </c>
      <c r="K13" t="s">
        <v>246</v>
      </c>
      <c r="L13">
        <v>1368</v>
      </c>
      <c r="N13">
        <v>1011</v>
      </c>
      <c r="O13" t="s">
        <v>247</v>
      </c>
      <c r="P13" t="s">
        <v>247</v>
      </c>
      <c r="Q13">
        <v>1</v>
      </c>
      <c r="W13">
        <v>0</v>
      </c>
      <c r="X13">
        <v>491832663</v>
      </c>
      <c r="Y13">
        <v>1.48</v>
      </c>
      <c r="AA13">
        <v>0</v>
      </c>
      <c r="AB13">
        <v>199.96</v>
      </c>
      <c r="AC13">
        <v>11.6</v>
      </c>
      <c r="AD13">
        <v>0</v>
      </c>
      <c r="AE13">
        <v>0</v>
      </c>
      <c r="AF13">
        <v>199.96</v>
      </c>
      <c r="AG13">
        <v>11.6</v>
      </c>
      <c r="AH13">
        <v>0</v>
      </c>
      <c r="AI13">
        <v>1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1.48</v>
      </c>
      <c r="AU13" t="s">
        <v>3</v>
      </c>
      <c r="AV13">
        <v>0</v>
      </c>
      <c r="AW13">
        <v>2</v>
      </c>
      <c r="AX13">
        <v>73147497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Y13*Source!I38</f>
        <v>0</v>
      </c>
      <c r="CY13">
        <f>AB13</f>
        <v>199.96</v>
      </c>
      <c r="CZ13">
        <f>AF13</f>
        <v>199.96</v>
      </c>
      <c r="DA13">
        <f>AJ13</f>
        <v>1</v>
      </c>
      <c r="DB13">
        <f t="shared" si="3"/>
        <v>295.94</v>
      </c>
      <c r="DC13">
        <f t="shared" si="4"/>
        <v>17.170000000000002</v>
      </c>
    </row>
    <row r="14" spans="1:107">
      <c r="A14">
        <f>ROW(Source!A39)</f>
        <v>39</v>
      </c>
      <c r="B14">
        <v>73147422</v>
      </c>
      <c r="C14">
        <v>73147491</v>
      </c>
      <c r="D14">
        <v>44294396</v>
      </c>
      <c r="E14">
        <v>28876687</v>
      </c>
      <c r="F14">
        <v>1</v>
      </c>
      <c r="G14">
        <v>1</v>
      </c>
      <c r="H14">
        <v>1</v>
      </c>
      <c r="I14" t="s">
        <v>237</v>
      </c>
      <c r="J14" t="s">
        <v>3</v>
      </c>
      <c r="K14" t="s">
        <v>238</v>
      </c>
      <c r="L14">
        <v>1191</v>
      </c>
      <c r="N14">
        <v>1013</v>
      </c>
      <c r="O14" t="s">
        <v>239</v>
      </c>
      <c r="P14" t="s">
        <v>239</v>
      </c>
      <c r="Q14">
        <v>1</v>
      </c>
      <c r="W14">
        <v>0</v>
      </c>
      <c r="X14">
        <v>145020957</v>
      </c>
      <c r="Y14">
        <v>3.04</v>
      </c>
      <c r="AA14">
        <v>0</v>
      </c>
      <c r="AB14">
        <v>0</v>
      </c>
      <c r="AC14">
        <v>0</v>
      </c>
      <c r="AD14">
        <v>219.86</v>
      </c>
      <c r="AE14">
        <v>0</v>
      </c>
      <c r="AF14">
        <v>0</v>
      </c>
      <c r="AG14">
        <v>0</v>
      </c>
      <c r="AH14">
        <v>9.07</v>
      </c>
      <c r="AI14">
        <v>1</v>
      </c>
      <c r="AJ14">
        <v>1</v>
      </c>
      <c r="AK14">
        <v>1</v>
      </c>
      <c r="AL14">
        <v>24.24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3.04</v>
      </c>
      <c r="AU14" t="s">
        <v>3</v>
      </c>
      <c r="AV14">
        <v>1</v>
      </c>
      <c r="AW14">
        <v>2</v>
      </c>
      <c r="AX14">
        <v>73147495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Y14*Source!I39</f>
        <v>0</v>
      </c>
      <c r="CY14">
        <f>AD14</f>
        <v>219.86</v>
      </c>
      <c r="CZ14">
        <f>AH14</f>
        <v>9.07</v>
      </c>
      <c r="DA14">
        <f>AL14</f>
        <v>24.24</v>
      </c>
      <c r="DB14">
        <f t="shared" si="3"/>
        <v>27.57</v>
      </c>
      <c r="DC14">
        <f t="shared" si="4"/>
        <v>0</v>
      </c>
    </row>
    <row r="15" spans="1:107">
      <c r="A15">
        <f>ROW(Source!A39)</f>
        <v>39</v>
      </c>
      <c r="B15">
        <v>73147422</v>
      </c>
      <c r="C15">
        <v>73147491</v>
      </c>
      <c r="D15">
        <v>44294492</v>
      </c>
      <c r="E15">
        <v>28876687</v>
      </c>
      <c r="F15">
        <v>1</v>
      </c>
      <c r="G15">
        <v>1</v>
      </c>
      <c r="H15">
        <v>1</v>
      </c>
      <c r="I15" t="s">
        <v>242</v>
      </c>
      <c r="J15" t="s">
        <v>3</v>
      </c>
      <c r="K15" t="s">
        <v>243</v>
      </c>
      <c r="L15">
        <v>1191</v>
      </c>
      <c r="N15">
        <v>1013</v>
      </c>
      <c r="O15" t="s">
        <v>239</v>
      </c>
      <c r="P15" t="s">
        <v>239</v>
      </c>
      <c r="Q15">
        <v>1</v>
      </c>
      <c r="W15">
        <v>0</v>
      </c>
      <c r="X15">
        <v>-2136365698</v>
      </c>
      <c r="Y15">
        <v>1.48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1</v>
      </c>
      <c r="AJ15">
        <v>1</v>
      </c>
      <c r="AK15">
        <v>1</v>
      </c>
      <c r="AL15">
        <v>24.24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1.48</v>
      </c>
      <c r="AU15" t="s">
        <v>3</v>
      </c>
      <c r="AV15">
        <v>1</v>
      </c>
      <c r="AW15">
        <v>2</v>
      </c>
      <c r="AX15">
        <v>73147496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Y15*Source!I39</f>
        <v>0</v>
      </c>
      <c r="CY15">
        <f>AD15</f>
        <v>0</v>
      </c>
      <c r="CZ15">
        <f>AH15</f>
        <v>0</v>
      </c>
      <c r="DA15">
        <f>AL15</f>
        <v>24.24</v>
      </c>
      <c r="DB15">
        <f t="shared" si="3"/>
        <v>0</v>
      </c>
      <c r="DC15">
        <f t="shared" si="4"/>
        <v>0</v>
      </c>
    </row>
    <row r="16" spans="1:107">
      <c r="A16">
        <f>ROW(Source!A39)</f>
        <v>39</v>
      </c>
      <c r="B16">
        <v>73147422</v>
      </c>
      <c r="C16">
        <v>73147491</v>
      </c>
      <c r="D16">
        <v>44508999</v>
      </c>
      <c r="E16">
        <v>1</v>
      </c>
      <c r="F16">
        <v>1</v>
      </c>
      <c r="G16">
        <v>1</v>
      </c>
      <c r="H16">
        <v>2</v>
      </c>
      <c r="I16" t="s">
        <v>244</v>
      </c>
      <c r="J16" t="s">
        <v>245</v>
      </c>
      <c r="K16" t="s">
        <v>246</v>
      </c>
      <c r="L16">
        <v>1368</v>
      </c>
      <c r="N16">
        <v>1011</v>
      </c>
      <c r="O16" t="s">
        <v>247</v>
      </c>
      <c r="P16" t="s">
        <v>247</v>
      </c>
      <c r="Q16">
        <v>1</v>
      </c>
      <c r="W16">
        <v>0</v>
      </c>
      <c r="X16">
        <v>491832663</v>
      </c>
      <c r="Y16">
        <v>1.48</v>
      </c>
      <c r="AA16">
        <v>0</v>
      </c>
      <c r="AB16">
        <v>1903.62</v>
      </c>
      <c r="AC16">
        <v>281.18</v>
      </c>
      <c r="AD16">
        <v>0</v>
      </c>
      <c r="AE16">
        <v>0</v>
      </c>
      <c r="AF16">
        <v>199.96</v>
      </c>
      <c r="AG16">
        <v>11.6</v>
      </c>
      <c r="AH16">
        <v>0</v>
      </c>
      <c r="AI16">
        <v>1</v>
      </c>
      <c r="AJ16">
        <v>9.52</v>
      </c>
      <c r="AK16">
        <v>24.24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1.48</v>
      </c>
      <c r="AU16" t="s">
        <v>3</v>
      </c>
      <c r="AV16">
        <v>0</v>
      </c>
      <c r="AW16">
        <v>2</v>
      </c>
      <c r="AX16">
        <v>73147497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Y16*Source!I39</f>
        <v>0</v>
      </c>
      <c r="CY16">
        <f>AB16</f>
        <v>1903.62</v>
      </c>
      <c r="CZ16">
        <f>AF16</f>
        <v>199.96</v>
      </c>
      <c r="DA16">
        <f>AJ16</f>
        <v>9.52</v>
      </c>
      <c r="DB16">
        <f t="shared" si="3"/>
        <v>295.94</v>
      </c>
      <c r="DC16">
        <f t="shared" si="4"/>
        <v>17.170000000000002</v>
      </c>
    </row>
    <row r="17" spans="1:107">
      <c r="A17">
        <f>ROW(Source!A40)</f>
        <v>40</v>
      </c>
      <c r="B17">
        <v>73147424</v>
      </c>
      <c r="C17">
        <v>73147504</v>
      </c>
      <c r="D17">
        <v>55597730</v>
      </c>
      <c r="E17">
        <v>58</v>
      </c>
      <c r="F17">
        <v>1</v>
      </c>
      <c r="G17">
        <v>1</v>
      </c>
      <c r="H17">
        <v>1</v>
      </c>
      <c r="I17" t="s">
        <v>248</v>
      </c>
      <c r="J17" t="s">
        <v>3</v>
      </c>
      <c r="K17" t="s">
        <v>249</v>
      </c>
      <c r="L17">
        <v>1191</v>
      </c>
      <c r="N17">
        <v>1013</v>
      </c>
      <c r="O17" t="s">
        <v>239</v>
      </c>
      <c r="P17" t="s">
        <v>239</v>
      </c>
      <c r="Q17">
        <v>1</v>
      </c>
      <c r="W17">
        <v>0</v>
      </c>
      <c r="X17">
        <v>461079475</v>
      </c>
      <c r="Y17">
        <v>0.8</v>
      </c>
      <c r="AA17">
        <v>0</v>
      </c>
      <c r="AB17">
        <v>0</v>
      </c>
      <c r="AC17">
        <v>0</v>
      </c>
      <c r="AD17">
        <v>7.56</v>
      </c>
      <c r="AE17">
        <v>0</v>
      </c>
      <c r="AF17">
        <v>0</v>
      </c>
      <c r="AG17">
        <v>0</v>
      </c>
      <c r="AH17">
        <v>7.56</v>
      </c>
      <c r="AI17">
        <v>1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0.8</v>
      </c>
      <c r="AU17" t="s">
        <v>3</v>
      </c>
      <c r="AV17">
        <v>1</v>
      </c>
      <c r="AW17">
        <v>2</v>
      </c>
      <c r="AX17">
        <v>73147506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Y17*Source!I40</f>
        <v>0</v>
      </c>
      <c r="CY17">
        <f t="shared" ref="CY17:CY22" si="5">AD17</f>
        <v>7.56</v>
      </c>
      <c r="CZ17">
        <f t="shared" ref="CZ17:CZ22" si="6">AH17</f>
        <v>7.56</v>
      </c>
      <c r="DA17">
        <f t="shared" ref="DA17:DA22" si="7">AL17</f>
        <v>1</v>
      </c>
      <c r="DB17">
        <f t="shared" si="3"/>
        <v>6.05</v>
      </c>
      <c r="DC17">
        <f t="shared" si="4"/>
        <v>0</v>
      </c>
    </row>
    <row r="18" spans="1:107">
      <c r="A18">
        <f>ROW(Source!A41)</f>
        <v>41</v>
      </c>
      <c r="B18">
        <v>73147422</v>
      </c>
      <c r="C18">
        <v>73147504</v>
      </c>
      <c r="D18">
        <v>55597730</v>
      </c>
      <c r="E18">
        <v>58</v>
      </c>
      <c r="F18">
        <v>1</v>
      </c>
      <c r="G18">
        <v>1</v>
      </c>
      <c r="H18">
        <v>1</v>
      </c>
      <c r="I18" t="s">
        <v>248</v>
      </c>
      <c r="J18" t="s">
        <v>3</v>
      </c>
      <c r="K18" t="s">
        <v>249</v>
      </c>
      <c r="L18">
        <v>1191</v>
      </c>
      <c r="N18">
        <v>1013</v>
      </c>
      <c r="O18" t="s">
        <v>239</v>
      </c>
      <c r="P18" t="s">
        <v>239</v>
      </c>
      <c r="Q18">
        <v>1</v>
      </c>
      <c r="W18">
        <v>0</v>
      </c>
      <c r="X18">
        <v>461079475</v>
      </c>
      <c r="Y18">
        <v>0.8</v>
      </c>
      <c r="AA18">
        <v>0</v>
      </c>
      <c r="AB18">
        <v>0</v>
      </c>
      <c r="AC18">
        <v>0</v>
      </c>
      <c r="AD18">
        <v>183.25</v>
      </c>
      <c r="AE18">
        <v>0</v>
      </c>
      <c r="AF18">
        <v>0</v>
      </c>
      <c r="AG18">
        <v>0</v>
      </c>
      <c r="AH18">
        <v>7.56</v>
      </c>
      <c r="AI18">
        <v>1</v>
      </c>
      <c r="AJ18">
        <v>1</v>
      </c>
      <c r="AK18">
        <v>1</v>
      </c>
      <c r="AL18">
        <v>24.24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0.8</v>
      </c>
      <c r="AU18" t="s">
        <v>3</v>
      </c>
      <c r="AV18">
        <v>1</v>
      </c>
      <c r="AW18">
        <v>2</v>
      </c>
      <c r="AX18">
        <v>73147506</v>
      </c>
      <c r="AY18">
        <v>1</v>
      </c>
      <c r="AZ18">
        <v>0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Y18*Source!I41</f>
        <v>0</v>
      </c>
      <c r="CY18">
        <f t="shared" si="5"/>
        <v>183.25</v>
      </c>
      <c r="CZ18">
        <f t="shared" si="6"/>
        <v>7.56</v>
      </c>
      <c r="DA18">
        <f t="shared" si="7"/>
        <v>24.24</v>
      </c>
      <c r="DB18">
        <f t="shared" si="3"/>
        <v>6.05</v>
      </c>
      <c r="DC18">
        <f t="shared" si="4"/>
        <v>0</v>
      </c>
    </row>
    <row r="19" spans="1:107">
      <c r="A19">
        <f>ROW(Source!A42)</f>
        <v>42</v>
      </c>
      <c r="B19">
        <v>73147424</v>
      </c>
      <c r="C19">
        <v>73147545</v>
      </c>
      <c r="D19">
        <v>55597730</v>
      </c>
      <c r="E19">
        <v>58</v>
      </c>
      <c r="F19">
        <v>1</v>
      </c>
      <c r="G19">
        <v>1</v>
      </c>
      <c r="H19">
        <v>1</v>
      </c>
      <c r="I19" t="s">
        <v>248</v>
      </c>
      <c r="J19" t="s">
        <v>3</v>
      </c>
      <c r="K19" t="s">
        <v>249</v>
      </c>
      <c r="L19">
        <v>1191</v>
      </c>
      <c r="N19">
        <v>1013</v>
      </c>
      <c r="O19" t="s">
        <v>239</v>
      </c>
      <c r="P19" t="s">
        <v>239</v>
      </c>
      <c r="Q19">
        <v>1</v>
      </c>
      <c r="W19">
        <v>0</v>
      </c>
      <c r="X19">
        <v>461079475</v>
      </c>
      <c r="Y19">
        <v>1.61</v>
      </c>
      <c r="AA19">
        <v>0</v>
      </c>
      <c r="AB19">
        <v>0</v>
      </c>
      <c r="AC19">
        <v>0</v>
      </c>
      <c r="AD19">
        <v>7.56</v>
      </c>
      <c r="AE19">
        <v>0</v>
      </c>
      <c r="AF19">
        <v>0</v>
      </c>
      <c r="AG19">
        <v>0</v>
      </c>
      <c r="AH19">
        <v>7.56</v>
      </c>
      <c r="AI19">
        <v>1</v>
      </c>
      <c r="AJ19">
        <v>1</v>
      </c>
      <c r="AK19">
        <v>1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1.61</v>
      </c>
      <c r="AU19" t="s">
        <v>3</v>
      </c>
      <c r="AV19">
        <v>1</v>
      </c>
      <c r="AW19">
        <v>2</v>
      </c>
      <c r="AX19">
        <v>73147547</v>
      </c>
      <c r="AY19">
        <v>1</v>
      </c>
      <c r="AZ19">
        <v>0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Y19*Source!I42</f>
        <v>0</v>
      </c>
      <c r="CY19">
        <f t="shared" si="5"/>
        <v>7.56</v>
      </c>
      <c r="CZ19">
        <f t="shared" si="6"/>
        <v>7.56</v>
      </c>
      <c r="DA19">
        <f t="shared" si="7"/>
        <v>1</v>
      </c>
      <c r="DB19">
        <f t="shared" si="3"/>
        <v>12.17</v>
      </c>
      <c r="DC19">
        <f t="shared" si="4"/>
        <v>0</v>
      </c>
    </row>
    <row r="20" spans="1:107">
      <c r="A20">
        <f>ROW(Source!A43)</f>
        <v>43</v>
      </c>
      <c r="B20">
        <v>73147422</v>
      </c>
      <c r="C20">
        <v>73147545</v>
      </c>
      <c r="D20">
        <v>55597730</v>
      </c>
      <c r="E20">
        <v>58</v>
      </c>
      <c r="F20">
        <v>1</v>
      </c>
      <c r="G20">
        <v>1</v>
      </c>
      <c r="H20">
        <v>1</v>
      </c>
      <c r="I20" t="s">
        <v>248</v>
      </c>
      <c r="J20" t="s">
        <v>3</v>
      </c>
      <c r="K20" t="s">
        <v>249</v>
      </c>
      <c r="L20">
        <v>1191</v>
      </c>
      <c r="N20">
        <v>1013</v>
      </c>
      <c r="O20" t="s">
        <v>239</v>
      </c>
      <c r="P20" t="s">
        <v>239</v>
      </c>
      <c r="Q20">
        <v>1</v>
      </c>
      <c r="W20">
        <v>0</v>
      </c>
      <c r="X20">
        <v>461079475</v>
      </c>
      <c r="Y20">
        <v>1.61</v>
      </c>
      <c r="AA20">
        <v>0</v>
      </c>
      <c r="AB20">
        <v>0</v>
      </c>
      <c r="AC20">
        <v>0</v>
      </c>
      <c r="AD20">
        <v>183.25</v>
      </c>
      <c r="AE20">
        <v>0</v>
      </c>
      <c r="AF20">
        <v>0</v>
      </c>
      <c r="AG20">
        <v>0</v>
      </c>
      <c r="AH20">
        <v>7.56</v>
      </c>
      <c r="AI20">
        <v>1</v>
      </c>
      <c r="AJ20">
        <v>1</v>
      </c>
      <c r="AK20">
        <v>1</v>
      </c>
      <c r="AL20">
        <v>24.24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1.61</v>
      </c>
      <c r="AU20" t="s">
        <v>3</v>
      </c>
      <c r="AV20">
        <v>1</v>
      </c>
      <c r="AW20">
        <v>2</v>
      </c>
      <c r="AX20">
        <v>73147547</v>
      </c>
      <c r="AY20">
        <v>1</v>
      </c>
      <c r="AZ20">
        <v>0</v>
      </c>
      <c r="BA20">
        <v>20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Y20*Source!I43</f>
        <v>0</v>
      </c>
      <c r="CY20">
        <f t="shared" si="5"/>
        <v>183.25</v>
      </c>
      <c r="CZ20">
        <f t="shared" si="6"/>
        <v>7.56</v>
      </c>
      <c r="DA20">
        <f t="shared" si="7"/>
        <v>24.24</v>
      </c>
      <c r="DB20">
        <f t="shared" si="3"/>
        <v>12.17</v>
      </c>
      <c r="DC20">
        <f t="shared" si="4"/>
        <v>0</v>
      </c>
    </row>
    <row r="21" spans="1:107">
      <c r="A21">
        <f>ROW(Source!A44)</f>
        <v>44</v>
      </c>
      <c r="B21">
        <v>73147424</v>
      </c>
      <c r="C21">
        <v>73147510</v>
      </c>
      <c r="D21">
        <v>55597804</v>
      </c>
      <c r="E21">
        <v>58</v>
      </c>
      <c r="F21">
        <v>1</v>
      </c>
      <c r="G21">
        <v>1</v>
      </c>
      <c r="H21">
        <v>1</v>
      </c>
      <c r="I21" t="s">
        <v>237</v>
      </c>
      <c r="J21" t="s">
        <v>3</v>
      </c>
      <c r="K21" t="s">
        <v>238</v>
      </c>
      <c r="L21">
        <v>1191</v>
      </c>
      <c r="N21">
        <v>1013</v>
      </c>
      <c r="O21" t="s">
        <v>239</v>
      </c>
      <c r="P21" t="s">
        <v>239</v>
      </c>
      <c r="Q21">
        <v>1</v>
      </c>
      <c r="W21">
        <v>0</v>
      </c>
      <c r="X21">
        <v>145020957</v>
      </c>
      <c r="Y21">
        <v>3.04</v>
      </c>
      <c r="AA21">
        <v>0</v>
      </c>
      <c r="AB21">
        <v>0</v>
      </c>
      <c r="AC21">
        <v>0</v>
      </c>
      <c r="AD21">
        <v>9.07</v>
      </c>
      <c r="AE21">
        <v>0</v>
      </c>
      <c r="AF21">
        <v>0</v>
      </c>
      <c r="AG21">
        <v>0</v>
      </c>
      <c r="AH21">
        <v>9.07</v>
      </c>
      <c r="AI21">
        <v>1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3.04</v>
      </c>
      <c r="AU21" t="s">
        <v>3</v>
      </c>
      <c r="AV21">
        <v>1</v>
      </c>
      <c r="AW21">
        <v>2</v>
      </c>
      <c r="AX21">
        <v>73147514</v>
      </c>
      <c r="AY21">
        <v>1</v>
      </c>
      <c r="AZ21">
        <v>0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Y21*Source!I44</f>
        <v>0</v>
      </c>
      <c r="CY21">
        <f t="shared" si="5"/>
        <v>9.07</v>
      </c>
      <c r="CZ21">
        <f t="shared" si="6"/>
        <v>9.07</v>
      </c>
      <c r="DA21">
        <f t="shared" si="7"/>
        <v>1</v>
      </c>
      <c r="DB21">
        <f t="shared" si="3"/>
        <v>27.57</v>
      </c>
      <c r="DC21">
        <f t="shared" si="4"/>
        <v>0</v>
      </c>
    </row>
    <row r="22" spans="1:107">
      <c r="A22">
        <f>ROW(Source!A44)</f>
        <v>44</v>
      </c>
      <c r="B22">
        <v>73147424</v>
      </c>
      <c r="C22">
        <v>73147510</v>
      </c>
      <c r="D22">
        <v>55597967</v>
      </c>
      <c r="E22">
        <v>58</v>
      </c>
      <c r="F22">
        <v>1</v>
      </c>
      <c r="G22">
        <v>1</v>
      </c>
      <c r="H22">
        <v>1</v>
      </c>
      <c r="I22" t="s">
        <v>250</v>
      </c>
      <c r="J22" t="s">
        <v>3</v>
      </c>
      <c r="K22" t="s">
        <v>243</v>
      </c>
      <c r="L22">
        <v>1191</v>
      </c>
      <c r="N22">
        <v>1013</v>
      </c>
      <c r="O22" t="s">
        <v>239</v>
      </c>
      <c r="P22" t="s">
        <v>239</v>
      </c>
      <c r="Q22">
        <v>1</v>
      </c>
      <c r="W22">
        <v>0</v>
      </c>
      <c r="X22">
        <v>-1173606021</v>
      </c>
      <c r="Y22">
        <v>1.48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1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1.48</v>
      </c>
      <c r="AU22" t="s">
        <v>3</v>
      </c>
      <c r="AV22">
        <v>2</v>
      </c>
      <c r="AW22">
        <v>2</v>
      </c>
      <c r="AX22">
        <v>73147515</v>
      </c>
      <c r="AY22">
        <v>1</v>
      </c>
      <c r="AZ22">
        <v>0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Y22*Source!I44</f>
        <v>0</v>
      </c>
      <c r="CY22">
        <f t="shared" si="5"/>
        <v>0</v>
      </c>
      <c r="CZ22">
        <f t="shared" si="6"/>
        <v>0</v>
      </c>
      <c r="DA22">
        <f t="shared" si="7"/>
        <v>1</v>
      </c>
      <c r="DB22">
        <f t="shared" si="3"/>
        <v>0</v>
      </c>
      <c r="DC22">
        <f t="shared" si="4"/>
        <v>0</v>
      </c>
    </row>
    <row r="23" spans="1:107">
      <c r="A23">
        <f>ROW(Source!A44)</f>
        <v>44</v>
      </c>
      <c r="B23">
        <v>73147424</v>
      </c>
      <c r="C23">
        <v>73147510</v>
      </c>
      <c r="D23">
        <v>55758922</v>
      </c>
      <c r="E23">
        <v>1</v>
      </c>
      <c r="F23">
        <v>1</v>
      </c>
      <c r="G23">
        <v>1</v>
      </c>
      <c r="H23">
        <v>2</v>
      </c>
      <c r="I23" t="s">
        <v>244</v>
      </c>
      <c r="J23" t="s">
        <v>245</v>
      </c>
      <c r="K23" t="s">
        <v>246</v>
      </c>
      <c r="L23">
        <v>1368</v>
      </c>
      <c r="N23">
        <v>1011</v>
      </c>
      <c r="O23" t="s">
        <v>247</v>
      </c>
      <c r="P23" t="s">
        <v>247</v>
      </c>
      <c r="Q23">
        <v>1</v>
      </c>
      <c r="W23">
        <v>0</v>
      </c>
      <c r="X23">
        <v>-167640300</v>
      </c>
      <c r="Y23">
        <v>1.48</v>
      </c>
      <c r="AA23">
        <v>0</v>
      </c>
      <c r="AB23">
        <v>199.96</v>
      </c>
      <c r="AC23">
        <v>11.6</v>
      </c>
      <c r="AD23">
        <v>0</v>
      </c>
      <c r="AE23">
        <v>0</v>
      </c>
      <c r="AF23">
        <v>199.96</v>
      </c>
      <c r="AG23">
        <v>11.6</v>
      </c>
      <c r="AH23">
        <v>0</v>
      </c>
      <c r="AI23">
        <v>1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1.48</v>
      </c>
      <c r="AU23" t="s">
        <v>3</v>
      </c>
      <c r="AV23">
        <v>0</v>
      </c>
      <c r="AW23">
        <v>2</v>
      </c>
      <c r="AX23">
        <v>73147516</v>
      </c>
      <c r="AY23">
        <v>1</v>
      </c>
      <c r="AZ23">
        <v>0</v>
      </c>
      <c r="BA23">
        <v>23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Y23*Source!I44</f>
        <v>0</v>
      </c>
      <c r="CY23">
        <f>AB23</f>
        <v>199.96</v>
      </c>
      <c r="CZ23">
        <f>AF23</f>
        <v>199.96</v>
      </c>
      <c r="DA23">
        <f>AJ23</f>
        <v>1</v>
      </c>
      <c r="DB23">
        <f t="shared" si="3"/>
        <v>295.94</v>
      </c>
      <c r="DC23">
        <f t="shared" si="4"/>
        <v>17.170000000000002</v>
      </c>
    </row>
    <row r="24" spans="1:107">
      <c r="A24">
        <f>ROW(Source!A45)</f>
        <v>45</v>
      </c>
      <c r="B24">
        <v>73147422</v>
      </c>
      <c r="C24">
        <v>73147510</v>
      </c>
      <c r="D24">
        <v>55597804</v>
      </c>
      <c r="E24">
        <v>58</v>
      </c>
      <c r="F24">
        <v>1</v>
      </c>
      <c r="G24">
        <v>1</v>
      </c>
      <c r="H24">
        <v>1</v>
      </c>
      <c r="I24" t="s">
        <v>237</v>
      </c>
      <c r="J24" t="s">
        <v>3</v>
      </c>
      <c r="K24" t="s">
        <v>238</v>
      </c>
      <c r="L24">
        <v>1191</v>
      </c>
      <c r="N24">
        <v>1013</v>
      </c>
      <c r="O24" t="s">
        <v>239</v>
      </c>
      <c r="P24" t="s">
        <v>239</v>
      </c>
      <c r="Q24">
        <v>1</v>
      </c>
      <c r="W24">
        <v>0</v>
      </c>
      <c r="X24">
        <v>145020957</v>
      </c>
      <c r="Y24">
        <v>3.04</v>
      </c>
      <c r="AA24">
        <v>0</v>
      </c>
      <c r="AB24">
        <v>0</v>
      </c>
      <c r="AC24">
        <v>0</v>
      </c>
      <c r="AD24">
        <v>219.86</v>
      </c>
      <c r="AE24">
        <v>0</v>
      </c>
      <c r="AF24">
        <v>0</v>
      </c>
      <c r="AG24">
        <v>0</v>
      </c>
      <c r="AH24">
        <v>9.07</v>
      </c>
      <c r="AI24">
        <v>1</v>
      </c>
      <c r="AJ24">
        <v>1</v>
      </c>
      <c r="AK24">
        <v>1</v>
      </c>
      <c r="AL24">
        <v>24.24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3.04</v>
      </c>
      <c r="AU24" t="s">
        <v>3</v>
      </c>
      <c r="AV24">
        <v>1</v>
      </c>
      <c r="AW24">
        <v>2</v>
      </c>
      <c r="AX24">
        <v>73147514</v>
      </c>
      <c r="AY24">
        <v>1</v>
      </c>
      <c r="AZ24">
        <v>0</v>
      </c>
      <c r="BA24">
        <v>24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Y24*Source!I45</f>
        <v>0</v>
      </c>
      <c r="CY24">
        <f>AD24</f>
        <v>219.86</v>
      </c>
      <c r="CZ24">
        <f>AH24</f>
        <v>9.07</v>
      </c>
      <c r="DA24">
        <f>AL24</f>
        <v>24.24</v>
      </c>
      <c r="DB24">
        <f t="shared" si="3"/>
        <v>27.57</v>
      </c>
      <c r="DC24">
        <f t="shared" si="4"/>
        <v>0</v>
      </c>
    </row>
    <row r="25" spans="1:107">
      <c r="A25">
        <f>ROW(Source!A45)</f>
        <v>45</v>
      </c>
      <c r="B25">
        <v>73147422</v>
      </c>
      <c r="C25">
        <v>73147510</v>
      </c>
      <c r="D25">
        <v>55597967</v>
      </c>
      <c r="E25">
        <v>58</v>
      </c>
      <c r="F25">
        <v>1</v>
      </c>
      <c r="G25">
        <v>1</v>
      </c>
      <c r="H25">
        <v>1</v>
      </c>
      <c r="I25" t="s">
        <v>250</v>
      </c>
      <c r="J25" t="s">
        <v>3</v>
      </c>
      <c r="K25" t="s">
        <v>243</v>
      </c>
      <c r="L25">
        <v>1191</v>
      </c>
      <c r="N25">
        <v>1013</v>
      </c>
      <c r="O25" t="s">
        <v>239</v>
      </c>
      <c r="P25" t="s">
        <v>239</v>
      </c>
      <c r="Q25">
        <v>1</v>
      </c>
      <c r="W25">
        <v>0</v>
      </c>
      <c r="X25">
        <v>-1173606021</v>
      </c>
      <c r="Y25">
        <v>1.48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1</v>
      </c>
      <c r="AJ25">
        <v>1</v>
      </c>
      <c r="AK25">
        <v>24.24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1.48</v>
      </c>
      <c r="AU25" t="s">
        <v>3</v>
      </c>
      <c r="AV25">
        <v>2</v>
      </c>
      <c r="AW25">
        <v>2</v>
      </c>
      <c r="AX25">
        <v>73147515</v>
      </c>
      <c r="AY25">
        <v>1</v>
      </c>
      <c r="AZ25">
        <v>0</v>
      </c>
      <c r="BA25">
        <v>25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Y25*Source!I45</f>
        <v>0</v>
      </c>
      <c r="CY25">
        <f>AD25</f>
        <v>0</v>
      </c>
      <c r="CZ25">
        <f>AH25</f>
        <v>0</v>
      </c>
      <c r="DA25">
        <f>AL25</f>
        <v>1</v>
      </c>
      <c r="DB25">
        <f t="shared" si="3"/>
        <v>0</v>
      </c>
      <c r="DC25">
        <f t="shared" si="4"/>
        <v>0</v>
      </c>
    </row>
    <row r="26" spans="1:107">
      <c r="A26">
        <f>ROW(Source!A45)</f>
        <v>45</v>
      </c>
      <c r="B26">
        <v>73147422</v>
      </c>
      <c r="C26">
        <v>73147510</v>
      </c>
      <c r="D26">
        <v>55758922</v>
      </c>
      <c r="E26">
        <v>1</v>
      </c>
      <c r="F26">
        <v>1</v>
      </c>
      <c r="G26">
        <v>1</v>
      </c>
      <c r="H26">
        <v>2</v>
      </c>
      <c r="I26" t="s">
        <v>244</v>
      </c>
      <c r="J26" t="s">
        <v>245</v>
      </c>
      <c r="K26" t="s">
        <v>246</v>
      </c>
      <c r="L26">
        <v>1368</v>
      </c>
      <c r="N26">
        <v>1011</v>
      </c>
      <c r="O26" t="s">
        <v>247</v>
      </c>
      <c r="P26" t="s">
        <v>247</v>
      </c>
      <c r="Q26">
        <v>1</v>
      </c>
      <c r="W26">
        <v>0</v>
      </c>
      <c r="X26">
        <v>-167640300</v>
      </c>
      <c r="Y26">
        <v>1.48</v>
      </c>
      <c r="AA26">
        <v>0</v>
      </c>
      <c r="AB26">
        <v>1903.62</v>
      </c>
      <c r="AC26">
        <v>281.18</v>
      </c>
      <c r="AD26">
        <v>0</v>
      </c>
      <c r="AE26">
        <v>0</v>
      </c>
      <c r="AF26">
        <v>199.96</v>
      </c>
      <c r="AG26">
        <v>11.6</v>
      </c>
      <c r="AH26">
        <v>0</v>
      </c>
      <c r="AI26">
        <v>1</v>
      </c>
      <c r="AJ26">
        <v>9.52</v>
      </c>
      <c r="AK26">
        <v>24.24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1.48</v>
      </c>
      <c r="AU26" t="s">
        <v>3</v>
      </c>
      <c r="AV26">
        <v>0</v>
      </c>
      <c r="AW26">
        <v>2</v>
      </c>
      <c r="AX26">
        <v>73147516</v>
      </c>
      <c r="AY26">
        <v>1</v>
      </c>
      <c r="AZ26">
        <v>0</v>
      </c>
      <c r="BA26">
        <v>26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Y26*Source!I45</f>
        <v>0</v>
      </c>
      <c r="CY26">
        <f>AB26</f>
        <v>1903.62</v>
      </c>
      <c r="CZ26">
        <f>AF26</f>
        <v>199.96</v>
      </c>
      <c r="DA26">
        <f>AJ26</f>
        <v>9.52</v>
      </c>
      <c r="DB26">
        <f t="shared" si="3"/>
        <v>295.94</v>
      </c>
      <c r="DC26">
        <f t="shared" si="4"/>
        <v>17.170000000000002</v>
      </c>
    </row>
    <row r="27" spans="1:107">
      <c r="A27">
        <f>ROW(Source!A46)</f>
        <v>46</v>
      </c>
      <c r="B27">
        <v>73147424</v>
      </c>
      <c r="C27">
        <v>73147517</v>
      </c>
      <c r="D27">
        <v>55597804</v>
      </c>
      <c r="E27">
        <v>58</v>
      </c>
      <c r="F27">
        <v>1</v>
      </c>
      <c r="G27">
        <v>1</v>
      </c>
      <c r="H27">
        <v>1</v>
      </c>
      <c r="I27" t="s">
        <v>237</v>
      </c>
      <c r="J27" t="s">
        <v>3</v>
      </c>
      <c r="K27" t="s">
        <v>238</v>
      </c>
      <c r="L27">
        <v>1191</v>
      </c>
      <c r="N27">
        <v>1013</v>
      </c>
      <c r="O27" t="s">
        <v>239</v>
      </c>
      <c r="P27" t="s">
        <v>239</v>
      </c>
      <c r="Q27">
        <v>1</v>
      </c>
      <c r="W27">
        <v>0</v>
      </c>
      <c r="X27">
        <v>145020957</v>
      </c>
      <c r="Y27">
        <v>1.1100000000000001</v>
      </c>
      <c r="AA27">
        <v>0</v>
      </c>
      <c r="AB27">
        <v>0</v>
      </c>
      <c r="AC27">
        <v>0</v>
      </c>
      <c r="AD27">
        <v>9.07</v>
      </c>
      <c r="AE27">
        <v>0</v>
      </c>
      <c r="AF27">
        <v>0</v>
      </c>
      <c r="AG27">
        <v>0</v>
      </c>
      <c r="AH27">
        <v>9.07</v>
      </c>
      <c r="AI27">
        <v>1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1.1100000000000001</v>
      </c>
      <c r="AU27" t="s">
        <v>3</v>
      </c>
      <c r="AV27">
        <v>1</v>
      </c>
      <c r="AW27">
        <v>2</v>
      </c>
      <c r="AX27">
        <v>73147521</v>
      </c>
      <c r="AY27">
        <v>1</v>
      </c>
      <c r="AZ27">
        <v>0</v>
      </c>
      <c r="BA27">
        <v>27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Y27*Source!I46</f>
        <v>5.2059000000000006</v>
      </c>
      <c r="CY27">
        <f>AD27</f>
        <v>9.07</v>
      </c>
      <c r="CZ27">
        <f>AH27</f>
        <v>9.07</v>
      </c>
      <c r="DA27">
        <f>AL27</f>
        <v>1</v>
      </c>
      <c r="DB27">
        <f t="shared" si="3"/>
        <v>10.07</v>
      </c>
      <c r="DC27">
        <f t="shared" si="4"/>
        <v>0</v>
      </c>
    </row>
    <row r="28" spans="1:107">
      <c r="A28">
        <f>ROW(Source!A46)</f>
        <v>46</v>
      </c>
      <c r="B28">
        <v>73147424</v>
      </c>
      <c r="C28">
        <v>73147517</v>
      </c>
      <c r="D28">
        <v>55597967</v>
      </c>
      <c r="E28">
        <v>58</v>
      </c>
      <c r="F28">
        <v>1</v>
      </c>
      <c r="G28">
        <v>1</v>
      </c>
      <c r="H28">
        <v>1</v>
      </c>
      <c r="I28" t="s">
        <v>250</v>
      </c>
      <c r="J28" t="s">
        <v>3</v>
      </c>
      <c r="K28" t="s">
        <v>243</v>
      </c>
      <c r="L28">
        <v>1191</v>
      </c>
      <c r="N28">
        <v>1013</v>
      </c>
      <c r="O28" t="s">
        <v>239</v>
      </c>
      <c r="P28" t="s">
        <v>239</v>
      </c>
      <c r="Q28">
        <v>1</v>
      </c>
      <c r="W28">
        <v>0</v>
      </c>
      <c r="X28">
        <v>-1173606021</v>
      </c>
      <c r="Y28">
        <v>0.54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1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0.54</v>
      </c>
      <c r="AU28" t="s">
        <v>3</v>
      </c>
      <c r="AV28">
        <v>2</v>
      </c>
      <c r="AW28">
        <v>2</v>
      </c>
      <c r="AX28">
        <v>73147522</v>
      </c>
      <c r="AY28">
        <v>1</v>
      </c>
      <c r="AZ28">
        <v>0</v>
      </c>
      <c r="BA28">
        <v>28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Y28*Source!I46</f>
        <v>2.5326000000000004</v>
      </c>
      <c r="CY28">
        <f>AD28</f>
        <v>0</v>
      </c>
      <c r="CZ28">
        <f>AH28</f>
        <v>0</v>
      </c>
      <c r="DA28">
        <f>AL28</f>
        <v>1</v>
      </c>
      <c r="DB28">
        <f t="shared" si="3"/>
        <v>0</v>
      </c>
      <c r="DC28">
        <f t="shared" si="4"/>
        <v>0</v>
      </c>
    </row>
    <row r="29" spans="1:107">
      <c r="A29">
        <f>ROW(Source!A46)</f>
        <v>46</v>
      </c>
      <c r="B29">
        <v>73147424</v>
      </c>
      <c r="C29">
        <v>73147517</v>
      </c>
      <c r="D29">
        <v>55758922</v>
      </c>
      <c r="E29">
        <v>1</v>
      </c>
      <c r="F29">
        <v>1</v>
      </c>
      <c r="G29">
        <v>1</v>
      </c>
      <c r="H29">
        <v>2</v>
      </c>
      <c r="I29" t="s">
        <v>244</v>
      </c>
      <c r="J29" t="s">
        <v>245</v>
      </c>
      <c r="K29" t="s">
        <v>246</v>
      </c>
      <c r="L29">
        <v>1368</v>
      </c>
      <c r="N29">
        <v>1011</v>
      </c>
      <c r="O29" t="s">
        <v>247</v>
      </c>
      <c r="P29" t="s">
        <v>247</v>
      </c>
      <c r="Q29">
        <v>1</v>
      </c>
      <c r="W29">
        <v>0</v>
      </c>
      <c r="X29">
        <v>-167640300</v>
      </c>
      <c r="Y29">
        <v>0.54</v>
      </c>
      <c r="AA29">
        <v>0</v>
      </c>
      <c r="AB29">
        <v>199.96</v>
      </c>
      <c r="AC29">
        <v>11.6</v>
      </c>
      <c r="AD29">
        <v>0</v>
      </c>
      <c r="AE29">
        <v>0</v>
      </c>
      <c r="AF29">
        <v>199.96</v>
      </c>
      <c r="AG29">
        <v>11.6</v>
      </c>
      <c r="AH29">
        <v>0</v>
      </c>
      <c r="AI29">
        <v>1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0.54</v>
      </c>
      <c r="AU29" t="s">
        <v>3</v>
      </c>
      <c r="AV29">
        <v>0</v>
      </c>
      <c r="AW29">
        <v>2</v>
      </c>
      <c r="AX29">
        <v>73147523</v>
      </c>
      <c r="AY29">
        <v>1</v>
      </c>
      <c r="AZ29">
        <v>0</v>
      </c>
      <c r="BA29">
        <v>29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Y29*Source!I46</f>
        <v>2.5326000000000004</v>
      </c>
      <c r="CY29">
        <f>AB29</f>
        <v>199.96</v>
      </c>
      <c r="CZ29">
        <f>AF29</f>
        <v>199.96</v>
      </c>
      <c r="DA29">
        <f>AJ29</f>
        <v>1</v>
      </c>
      <c r="DB29">
        <f t="shared" si="3"/>
        <v>107.98</v>
      </c>
      <c r="DC29">
        <f t="shared" si="4"/>
        <v>6.26</v>
      </c>
    </row>
    <row r="30" spans="1:107">
      <c r="A30">
        <f>ROW(Source!A47)</f>
        <v>47</v>
      </c>
      <c r="B30">
        <v>73147422</v>
      </c>
      <c r="C30">
        <v>73147517</v>
      </c>
      <c r="D30">
        <v>55597804</v>
      </c>
      <c r="E30">
        <v>58</v>
      </c>
      <c r="F30">
        <v>1</v>
      </c>
      <c r="G30">
        <v>1</v>
      </c>
      <c r="H30">
        <v>1</v>
      </c>
      <c r="I30" t="s">
        <v>237</v>
      </c>
      <c r="J30" t="s">
        <v>3</v>
      </c>
      <c r="K30" t="s">
        <v>238</v>
      </c>
      <c r="L30">
        <v>1191</v>
      </c>
      <c r="N30">
        <v>1013</v>
      </c>
      <c r="O30" t="s">
        <v>239</v>
      </c>
      <c r="P30" t="s">
        <v>239</v>
      </c>
      <c r="Q30">
        <v>1</v>
      </c>
      <c r="W30">
        <v>0</v>
      </c>
      <c r="X30">
        <v>145020957</v>
      </c>
      <c r="Y30">
        <v>1.1100000000000001</v>
      </c>
      <c r="AA30">
        <v>0</v>
      </c>
      <c r="AB30">
        <v>0</v>
      </c>
      <c r="AC30">
        <v>0</v>
      </c>
      <c r="AD30">
        <v>219.86</v>
      </c>
      <c r="AE30">
        <v>0</v>
      </c>
      <c r="AF30">
        <v>0</v>
      </c>
      <c r="AG30">
        <v>0</v>
      </c>
      <c r="AH30">
        <v>9.07</v>
      </c>
      <c r="AI30">
        <v>1</v>
      </c>
      <c r="AJ30">
        <v>1</v>
      </c>
      <c r="AK30">
        <v>1</v>
      </c>
      <c r="AL30">
        <v>24.24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1.1100000000000001</v>
      </c>
      <c r="AU30" t="s">
        <v>3</v>
      </c>
      <c r="AV30">
        <v>1</v>
      </c>
      <c r="AW30">
        <v>2</v>
      </c>
      <c r="AX30">
        <v>73147521</v>
      </c>
      <c r="AY30">
        <v>1</v>
      </c>
      <c r="AZ30">
        <v>0</v>
      </c>
      <c r="BA30">
        <v>30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Y30*Source!I47</f>
        <v>5.2059000000000006</v>
      </c>
      <c r="CY30">
        <f>AD30</f>
        <v>219.86</v>
      </c>
      <c r="CZ30">
        <f>AH30</f>
        <v>9.07</v>
      </c>
      <c r="DA30">
        <f>AL30</f>
        <v>24.24</v>
      </c>
      <c r="DB30">
        <f t="shared" si="3"/>
        <v>10.07</v>
      </c>
      <c r="DC30">
        <f t="shared" si="4"/>
        <v>0</v>
      </c>
    </row>
    <row r="31" spans="1:107">
      <c r="A31">
        <f>ROW(Source!A47)</f>
        <v>47</v>
      </c>
      <c r="B31">
        <v>73147422</v>
      </c>
      <c r="C31">
        <v>73147517</v>
      </c>
      <c r="D31">
        <v>55597967</v>
      </c>
      <c r="E31">
        <v>58</v>
      </c>
      <c r="F31">
        <v>1</v>
      </c>
      <c r="G31">
        <v>1</v>
      </c>
      <c r="H31">
        <v>1</v>
      </c>
      <c r="I31" t="s">
        <v>250</v>
      </c>
      <c r="J31" t="s">
        <v>3</v>
      </c>
      <c r="K31" t="s">
        <v>243</v>
      </c>
      <c r="L31">
        <v>1191</v>
      </c>
      <c r="N31">
        <v>1013</v>
      </c>
      <c r="O31" t="s">
        <v>239</v>
      </c>
      <c r="P31" t="s">
        <v>239</v>
      </c>
      <c r="Q31">
        <v>1</v>
      </c>
      <c r="W31">
        <v>0</v>
      </c>
      <c r="X31">
        <v>-1173606021</v>
      </c>
      <c r="Y31">
        <v>0.54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1</v>
      </c>
      <c r="AJ31">
        <v>1</v>
      </c>
      <c r="AK31">
        <v>24.24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</v>
      </c>
      <c r="AT31">
        <v>0.54</v>
      </c>
      <c r="AU31" t="s">
        <v>3</v>
      </c>
      <c r="AV31">
        <v>2</v>
      </c>
      <c r="AW31">
        <v>2</v>
      </c>
      <c r="AX31">
        <v>73147522</v>
      </c>
      <c r="AY31">
        <v>1</v>
      </c>
      <c r="AZ31">
        <v>0</v>
      </c>
      <c r="BA31">
        <v>31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Y31*Source!I47</f>
        <v>2.5326000000000004</v>
      </c>
      <c r="CY31">
        <f>AD31</f>
        <v>0</v>
      </c>
      <c r="CZ31">
        <f>AH31</f>
        <v>0</v>
      </c>
      <c r="DA31">
        <f>AL31</f>
        <v>1</v>
      </c>
      <c r="DB31">
        <f t="shared" si="3"/>
        <v>0</v>
      </c>
      <c r="DC31">
        <f t="shared" si="4"/>
        <v>0</v>
      </c>
    </row>
    <row r="32" spans="1:107">
      <c r="A32">
        <f>ROW(Source!A47)</f>
        <v>47</v>
      </c>
      <c r="B32">
        <v>73147422</v>
      </c>
      <c r="C32">
        <v>73147517</v>
      </c>
      <c r="D32">
        <v>55758922</v>
      </c>
      <c r="E32">
        <v>1</v>
      </c>
      <c r="F32">
        <v>1</v>
      </c>
      <c r="G32">
        <v>1</v>
      </c>
      <c r="H32">
        <v>2</v>
      </c>
      <c r="I32" t="s">
        <v>244</v>
      </c>
      <c r="J32" t="s">
        <v>245</v>
      </c>
      <c r="K32" t="s">
        <v>246</v>
      </c>
      <c r="L32">
        <v>1368</v>
      </c>
      <c r="N32">
        <v>1011</v>
      </c>
      <c r="O32" t="s">
        <v>247</v>
      </c>
      <c r="P32" t="s">
        <v>247</v>
      </c>
      <c r="Q32">
        <v>1</v>
      </c>
      <c r="W32">
        <v>0</v>
      </c>
      <c r="X32">
        <v>-167640300</v>
      </c>
      <c r="Y32">
        <v>0.54</v>
      </c>
      <c r="AA32">
        <v>0</v>
      </c>
      <c r="AB32">
        <v>1903.62</v>
      </c>
      <c r="AC32">
        <v>281.18</v>
      </c>
      <c r="AD32">
        <v>0</v>
      </c>
      <c r="AE32">
        <v>0</v>
      </c>
      <c r="AF32">
        <v>199.96</v>
      </c>
      <c r="AG32">
        <v>11.6</v>
      </c>
      <c r="AH32">
        <v>0</v>
      </c>
      <c r="AI32">
        <v>1</v>
      </c>
      <c r="AJ32">
        <v>9.52</v>
      </c>
      <c r="AK32">
        <v>24.24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</v>
      </c>
      <c r="AT32">
        <v>0.54</v>
      </c>
      <c r="AU32" t="s">
        <v>3</v>
      </c>
      <c r="AV32">
        <v>0</v>
      </c>
      <c r="AW32">
        <v>2</v>
      </c>
      <c r="AX32">
        <v>73147523</v>
      </c>
      <c r="AY32">
        <v>1</v>
      </c>
      <c r="AZ32">
        <v>0</v>
      </c>
      <c r="BA32">
        <v>32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Y32*Source!I47</f>
        <v>2.5326000000000004</v>
      </c>
      <c r="CY32">
        <f>AB32</f>
        <v>1903.62</v>
      </c>
      <c r="CZ32">
        <f>AF32</f>
        <v>199.96</v>
      </c>
      <c r="DA32">
        <f>AJ32</f>
        <v>9.52</v>
      </c>
      <c r="DB32">
        <f t="shared" si="3"/>
        <v>107.98</v>
      </c>
      <c r="DC32">
        <f t="shared" si="4"/>
        <v>6.26</v>
      </c>
    </row>
    <row r="33" spans="1:107">
      <c r="A33">
        <f>ROW(Source!A48)</f>
        <v>48</v>
      </c>
      <c r="B33">
        <v>73147424</v>
      </c>
      <c r="C33">
        <v>73147524</v>
      </c>
      <c r="D33">
        <v>58816074</v>
      </c>
      <c r="E33">
        <v>66</v>
      </c>
      <c r="F33">
        <v>1</v>
      </c>
      <c r="G33">
        <v>1</v>
      </c>
      <c r="H33">
        <v>1</v>
      </c>
      <c r="I33" t="s">
        <v>237</v>
      </c>
      <c r="J33" t="s">
        <v>3</v>
      </c>
      <c r="K33" t="s">
        <v>251</v>
      </c>
      <c r="L33">
        <v>1191</v>
      </c>
      <c r="N33">
        <v>1013</v>
      </c>
      <c r="O33" t="s">
        <v>239</v>
      </c>
      <c r="P33" t="s">
        <v>239</v>
      </c>
      <c r="Q33">
        <v>1</v>
      </c>
      <c r="W33">
        <v>0</v>
      </c>
      <c r="X33">
        <v>1893946532</v>
      </c>
      <c r="Y33">
        <v>3.83</v>
      </c>
      <c r="AA33">
        <v>0</v>
      </c>
      <c r="AB33">
        <v>0</v>
      </c>
      <c r="AC33">
        <v>0</v>
      </c>
      <c r="AD33">
        <v>9.07</v>
      </c>
      <c r="AE33">
        <v>0</v>
      </c>
      <c r="AF33">
        <v>0</v>
      </c>
      <c r="AG33">
        <v>0</v>
      </c>
      <c r="AH33">
        <v>9.07</v>
      </c>
      <c r="AI33">
        <v>1</v>
      </c>
      <c r="AJ33">
        <v>1</v>
      </c>
      <c r="AK33">
        <v>1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3.83</v>
      </c>
      <c r="AU33" t="s">
        <v>3</v>
      </c>
      <c r="AV33">
        <v>1</v>
      </c>
      <c r="AW33">
        <v>2</v>
      </c>
      <c r="AX33">
        <v>73147528</v>
      </c>
      <c r="AY33">
        <v>1</v>
      </c>
      <c r="AZ33">
        <v>0</v>
      </c>
      <c r="BA33">
        <v>33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Y33*Source!I48</f>
        <v>55.994599999999998</v>
      </c>
      <c r="CY33">
        <f>AD33</f>
        <v>9.07</v>
      </c>
      <c r="CZ33">
        <f>AH33</f>
        <v>9.07</v>
      </c>
      <c r="DA33">
        <f>AL33</f>
        <v>1</v>
      </c>
      <c r="DB33">
        <f t="shared" ref="DB33:DB66" si="8">ROUND(ROUND(AT33*CZ33,2),2)</f>
        <v>34.74</v>
      </c>
      <c r="DC33">
        <f t="shared" ref="DC33:DC66" si="9">ROUND(ROUND(AT33*AG33,2),2)</f>
        <v>0</v>
      </c>
    </row>
    <row r="34" spans="1:107">
      <c r="A34">
        <f>ROW(Source!A48)</f>
        <v>48</v>
      </c>
      <c r="B34">
        <v>73147424</v>
      </c>
      <c r="C34">
        <v>73147524</v>
      </c>
      <c r="D34">
        <v>58816315</v>
      </c>
      <c r="E34">
        <v>66</v>
      </c>
      <c r="F34">
        <v>1</v>
      </c>
      <c r="G34">
        <v>1</v>
      </c>
      <c r="H34">
        <v>1</v>
      </c>
      <c r="I34" t="s">
        <v>242</v>
      </c>
      <c r="J34" t="s">
        <v>3</v>
      </c>
      <c r="K34" t="s">
        <v>243</v>
      </c>
      <c r="L34">
        <v>1191</v>
      </c>
      <c r="N34">
        <v>1013</v>
      </c>
      <c r="O34" t="s">
        <v>239</v>
      </c>
      <c r="P34" t="s">
        <v>239</v>
      </c>
      <c r="Q34">
        <v>1</v>
      </c>
      <c r="W34">
        <v>0</v>
      </c>
      <c r="X34">
        <v>-1417349443</v>
      </c>
      <c r="Y34">
        <v>1.86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1</v>
      </c>
      <c r="AJ34">
        <v>1</v>
      </c>
      <c r="AK34">
        <v>1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1.86</v>
      </c>
      <c r="AU34" t="s">
        <v>3</v>
      </c>
      <c r="AV34">
        <v>2</v>
      </c>
      <c r="AW34">
        <v>2</v>
      </c>
      <c r="AX34">
        <v>73147529</v>
      </c>
      <c r="AY34">
        <v>1</v>
      </c>
      <c r="AZ34">
        <v>0</v>
      </c>
      <c r="BA34">
        <v>34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Y34*Source!I48</f>
        <v>27.193200000000001</v>
      </c>
      <c r="CY34">
        <f>AD34</f>
        <v>0</v>
      </c>
      <c r="CZ34">
        <f>AH34</f>
        <v>0</v>
      </c>
      <c r="DA34">
        <f>AL34</f>
        <v>1</v>
      </c>
      <c r="DB34">
        <f t="shared" si="8"/>
        <v>0</v>
      </c>
      <c r="DC34">
        <f t="shared" si="9"/>
        <v>0</v>
      </c>
    </row>
    <row r="35" spans="1:107">
      <c r="A35">
        <f>ROW(Source!A48)</f>
        <v>48</v>
      </c>
      <c r="B35">
        <v>73147424</v>
      </c>
      <c r="C35">
        <v>73147524</v>
      </c>
      <c r="D35">
        <v>58826786</v>
      </c>
      <c r="E35">
        <v>1</v>
      </c>
      <c r="F35">
        <v>1</v>
      </c>
      <c r="G35">
        <v>1</v>
      </c>
      <c r="H35">
        <v>2</v>
      </c>
      <c r="I35" t="s">
        <v>244</v>
      </c>
      <c r="J35" t="s">
        <v>245</v>
      </c>
      <c r="K35" t="s">
        <v>246</v>
      </c>
      <c r="L35">
        <v>1367</v>
      </c>
      <c r="N35">
        <v>1011</v>
      </c>
      <c r="O35" t="s">
        <v>252</v>
      </c>
      <c r="P35" t="s">
        <v>252</v>
      </c>
      <c r="Q35">
        <v>1</v>
      </c>
      <c r="W35">
        <v>0</v>
      </c>
      <c r="X35">
        <v>-1514899861</v>
      </c>
      <c r="Y35">
        <v>1.86</v>
      </c>
      <c r="AA35">
        <v>0</v>
      </c>
      <c r="AB35">
        <v>199.96</v>
      </c>
      <c r="AC35">
        <v>11.6</v>
      </c>
      <c r="AD35">
        <v>0</v>
      </c>
      <c r="AE35">
        <v>0</v>
      </c>
      <c r="AF35">
        <v>199.96</v>
      </c>
      <c r="AG35">
        <v>11.6</v>
      </c>
      <c r="AH35">
        <v>0</v>
      </c>
      <c r="AI35">
        <v>1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1.86</v>
      </c>
      <c r="AU35" t="s">
        <v>3</v>
      </c>
      <c r="AV35">
        <v>0</v>
      </c>
      <c r="AW35">
        <v>2</v>
      </c>
      <c r="AX35">
        <v>73147530</v>
      </c>
      <c r="AY35">
        <v>1</v>
      </c>
      <c r="AZ35">
        <v>0</v>
      </c>
      <c r="BA35">
        <v>35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Y35*Source!I48</f>
        <v>27.193200000000001</v>
      </c>
      <c r="CY35">
        <f>AB35</f>
        <v>199.96</v>
      </c>
      <c r="CZ35">
        <f>AF35</f>
        <v>199.96</v>
      </c>
      <c r="DA35">
        <f>AJ35</f>
        <v>1</v>
      </c>
      <c r="DB35">
        <f t="shared" si="8"/>
        <v>371.93</v>
      </c>
      <c r="DC35">
        <f t="shared" si="9"/>
        <v>21.58</v>
      </c>
    </row>
    <row r="36" spans="1:107">
      <c r="A36">
        <f>ROW(Source!A49)</f>
        <v>49</v>
      </c>
      <c r="B36">
        <v>73147422</v>
      </c>
      <c r="C36">
        <v>73147524</v>
      </c>
      <c r="D36">
        <v>58816074</v>
      </c>
      <c r="E36">
        <v>66</v>
      </c>
      <c r="F36">
        <v>1</v>
      </c>
      <c r="G36">
        <v>1</v>
      </c>
      <c r="H36">
        <v>1</v>
      </c>
      <c r="I36" t="s">
        <v>237</v>
      </c>
      <c r="J36" t="s">
        <v>3</v>
      </c>
      <c r="K36" t="s">
        <v>251</v>
      </c>
      <c r="L36">
        <v>1191</v>
      </c>
      <c r="N36">
        <v>1013</v>
      </c>
      <c r="O36" t="s">
        <v>239</v>
      </c>
      <c r="P36" t="s">
        <v>239</v>
      </c>
      <c r="Q36">
        <v>1</v>
      </c>
      <c r="W36">
        <v>0</v>
      </c>
      <c r="X36">
        <v>1893946532</v>
      </c>
      <c r="Y36">
        <v>3.83</v>
      </c>
      <c r="AA36">
        <v>0</v>
      </c>
      <c r="AB36">
        <v>0</v>
      </c>
      <c r="AC36">
        <v>0</v>
      </c>
      <c r="AD36">
        <v>219.86</v>
      </c>
      <c r="AE36">
        <v>0</v>
      </c>
      <c r="AF36">
        <v>0</v>
      </c>
      <c r="AG36">
        <v>0</v>
      </c>
      <c r="AH36">
        <v>9.07</v>
      </c>
      <c r="AI36">
        <v>1</v>
      </c>
      <c r="AJ36">
        <v>1</v>
      </c>
      <c r="AK36">
        <v>1</v>
      </c>
      <c r="AL36">
        <v>24.24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3.83</v>
      </c>
      <c r="AU36" t="s">
        <v>3</v>
      </c>
      <c r="AV36">
        <v>1</v>
      </c>
      <c r="AW36">
        <v>2</v>
      </c>
      <c r="AX36">
        <v>73147528</v>
      </c>
      <c r="AY36">
        <v>1</v>
      </c>
      <c r="AZ36">
        <v>0</v>
      </c>
      <c r="BA36">
        <v>36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Y36*Source!I49</f>
        <v>55.994599999999998</v>
      </c>
      <c r="CY36">
        <f>AD36</f>
        <v>219.86</v>
      </c>
      <c r="CZ36">
        <f>AH36</f>
        <v>9.07</v>
      </c>
      <c r="DA36">
        <f>AL36</f>
        <v>24.24</v>
      </c>
      <c r="DB36">
        <f t="shared" si="8"/>
        <v>34.74</v>
      </c>
      <c r="DC36">
        <f t="shared" si="9"/>
        <v>0</v>
      </c>
    </row>
    <row r="37" spans="1:107">
      <c r="A37">
        <f>ROW(Source!A49)</f>
        <v>49</v>
      </c>
      <c r="B37">
        <v>73147422</v>
      </c>
      <c r="C37">
        <v>73147524</v>
      </c>
      <c r="D37">
        <v>58816315</v>
      </c>
      <c r="E37">
        <v>66</v>
      </c>
      <c r="F37">
        <v>1</v>
      </c>
      <c r="G37">
        <v>1</v>
      </c>
      <c r="H37">
        <v>1</v>
      </c>
      <c r="I37" t="s">
        <v>242</v>
      </c>
      <c r="J37" t="s">
        <v>3</v>
      </c>
      <c r="K37" t="s">
        <v>243</v>
      </c>
      <c r="L37">
        <v>1191</v>
      </c>
      <c r="N37">
        <v>1013</v>
      </c>
      <c r="O37" t="s">
        <v>239</v>
      </c>
      <c r="P37" t="s">
        <v>239</v>
      </c>
      <c r="Q37">
        <v>1</v>
      </c>
      <c r="W37">
        <v>0</v>
      </c>
      <c r="X37">
        <v>-1417349443</v>
      </c>
      <c r="Y37">
        <v>1.86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1</v>
      </c>
      <c r="AJ37">
        <v>1</v>
      </c>
      <c r="AK37">
        <v>24.24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1.86</v>
      </c>
      <c r="AU37" t="s">
        <v>3</v>
      </c>
      <c r="AV37">
        <v>2</v>
      </c>
      <c r="AW37">
        <v>2</v>
      </c>
      <c r="AX37">
        <v>73147529</v>
      </c>
      <c r="AY37">
        <v>1</v>
      </c>
      <c r="AZ37">
        <v>0</v>
      </c>
      <c r="BA37">
        <v>37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Y37*Source!I49</f>
        <v>27.193200000000001</v>
      </c>
      <c r="CY37">
        <f>AD37</f>
        <v>0</v>
      </c>
      <c r="CZ37">
        <f>AH37</f>
        <v>0</v>
      </c>
      <c r="DA37">
        <f>AL37</f>
        <v>1</v>
      </c>
      <c r="DB37">
        <f t="shared" si="8"/>
        <v>0</v>
      </c>
      <c r="DC37">
        <f t="shared" si="9"/>
        <v>0</v>
      </c>
    </row>
    <row r="38" spans="1:107">
      <c r="A38">
        <f>ROW(Source!A49)</f>
        <v>49</v>
      </c>
      <c r="B38">
        <v>73147422</v>
      </c>
      <c r="C38">
        <v>73147524</v>
      </c>
      <c r="D38">
        <v>58826786</v>
      </c>
      <c r="E38">
        <v>1</v>
      </c>
      <c r="F38">
        <v>1</v>
      </c>
      <c r="G38">
        <v>1</v>
      </c>
      <c r="H38">
        <v>2</v>
      </c>
      <c r="I38" t="s">
        <v>244</v>
      </c>
      <c r="J38" t="s">
        <v>245</v>
      </c>
      <c r="K38" t="s">
        <v>246</v>
      </c>
      <c r="L38">
        <v>1367</v>
      </c>
      <c r="N38">
        <v>1011</v>
      </c>
      <c r="O38" t="s">
        <v>252</v>
      </c>
      <c r="P38" t="s">
        <v>252</v>
      </c>
      <c r="Q38">
        <v>1</v>
      </c>
      <c r="W38">
        <v>0</v>
      </c>
      <c r="X38">
        <v>-1514899861</v>
      </c>
      <c r="Y38">
        <v>1.86</v>
      </c>
      <c r="AA38">
        <v>0</v>
      </c>
      <c r="AB38">
        <v>1903.62</v>
      </c>
      <c r="AC38">
        <v>281.18</v>
      </c>
      <c r="AD38">
        <v>0</v>
      </c>
      <c r="AE38">
        <v>0</v>
      </c>
      <c r="AF38">
        <v>199.96</v>
      </c>
      <c r="AG38">
        <v>11.6</v>
      </c>
      <c r="AH38">
        <v>0</v>
      </c>
      <c r="AI38">
        <v>1</v>
      </c>
      <c r="AJ38">
        <v>9.52</v>
      </c>
      <c r="AK38">
        <v>24.24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1.86</v>
      </c>
      <c r="AU38" t="s">
        <v>3</v>
      </c>
      <c r="AV38">
        <v>0</v>
      </c>
      <c r="AW38">
        <v>2</v>
      </c>
      <c r="AX38">
        <v>73147530</v>
      </c>
      <c r="AY38">
        <v>1</v>
      </c>
      <c r="AZ38">
        <v>0</v>
      </c>
      <c r="BA38">
        <v>38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Y38*Source!I49</f>
        <v>27.193200000000001</v>
      </c>
      <c r="CY38">
        <f>AB38</f>
        <v>1903.62</v>
      </c>
      <c r="CZ38">
        <f>AF38</f>
        <v>199.96</v>
      </c>
      <c r="DA38">
        <f>AJ38</f>
        <v>9.52</v>
      </c>
      <c r="DB38">
        <f t="shared" si="8"/>
        <v>371.93</v>
      </c>
      <c r="DC38">
        <f t="shared" si="9"/>
        <v>21.58</v>
      </c>
    </row>
    <row r="39" spans="1:107">
      <c r="A39">
        <f>ROW(Source!A50)</f>
        <v>50</v>
      </c>
      <c r="B39">
        <v>73147424</v>
      </c>
      <c r="C39">
        <v>73147531</v>
      </c>
      <c r="D39">
        <v>55597804</v>
      </c>
      <c r="E39">
        <v>58</v>
      </c>
      <c r="F39">
        <v>1</v>
      </c>
      <c r="G39">
        <v>1</v>
      </c>
      <c r="H39">
        <v>1</v>
      </c>
      <c r="I39" t="s">
        <v>237</v>
      </c>
      <c r="J39" t="s">
        <v>3</v>
      </c>
      <c r="K39" t="s">
        <v>238</v>
      </c>
      <c r="L39">
        <v>1191</v>
      </c>
      <c r="N39">
        <v>1013</v>
      </c>
      <c r="O39" t="s">
        <v>239</v>
      </c>
      <c r="P39" t="s">
        <v>239</v>
      </c>
      <c r="Q39">
        <v>1</v>
      </c>
      <c r="W39">
        <v>0</v>
      </c>
      <c r="X39">
        <v>145020957</v>
      </c>
      <c r="Y39">
        <v>3.04</v>
      </c>
      <c r="AA39">
        <v>0</v>
      </c>
      <c r="AB39">
        <v>0</v>
      </c>
      <c r="AC39">
        <v>0</v>
      </c>
      <c r="AD39">
        <v>9.07</v>
      </c>
      <c r="AE39">
        <v>0</v>
      </c>
      <c r="AF39">
        <v>0</v>
      </c>
      <c r="AG39">
        <v>0</v>
      </c>
      <c r="AH39">
        <v>9.07</v>
      </c>
      <c r="AI39">
        <v>1</v>
      </c>
      <c r="AJ39">
        <v>1</v>
      </c>
      <c r="AK39">
        <v>1</v>
      </c>
      <c r="AL39">
        <v>1</v>
      </c>
      <c r="AN39">
        <v>0</v>
      </c>
      <c r="AO39">
        <v>1</v>
      </c>
      <c r="AP39">
        <v>0</v>
      </c>
      <c r="AQ39">
        <v>0</v>
      </c>
      <c r="AR39">
        <v>0</v>
      </c>
      <c r="AS39" t="s">
        <v>3</v>
      </c>
      <c r="AT39">
        <v>3.04</v>
      </c>
      <c r="AU39" t="s">
        <v>3</v>
      </c>
      <c r="AV39">
        <v>1</v>
      </c>
      <c r="AW39">
        <v>2</v>
      </c>
      <c r="AX39">
        <v>73147535</v>
      </c>
      <c r="AY39">
        <v>1</v>
      </c>
      <c r="AZ39">
        <v>0</v>
      </c>
      <c r="BA39">
        <v>39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Y39*Source!I50</f>
        <v>28.515200000000004</v>
      </c>
      <c r="CY39">
        <f>AD39</f>
        <v>9.07</v>
      </c>
      <c r="CZ39">
        <f>AH39</f>
        <v>9.07</v>
      </c>
      <c r="DA39">
        <f>AL39</f>
        <v>1</v>
      </c>
      <c r="DB39">
        <f t="shared" si="8"/>
        <v>27.57</v>
      </c>
      <c r="DC39">
        <f t="shared" si="9"/>
        <v>0</v>
      </c>
    </row>
    <row r="40" spans="1:107">
      <c r="A40">
        <f>ROW(Source!A50)</f>
        <v>50</v>
      </c>
      <c r="B40">
        <v>73147424</v>
      </c>
      <c r="C40">
        <v>73147531</v>
      </c>
      <c r="D40">
        <v>55597967</v>
      </c>
      <c r="E40">
        <v>58</v>
      </c>
      <c r="F40">
        <v>1</v>
      </c>
      <c r="G40">
        <v>1</v>
      </c>
      <c r="H40">
        <v>1</v>
      </c>
      <c r="I40" t="s">
        <v>250</v>
      </c>
      <c r="J40" t="s">
        <v>3</v>
      </c>
      <c r="K40" t="s">
        <v>243</v>
      </c>
      <c r="L40">
        <v>1191</v>
      </c>
      <c r="N40">
        <v>1013</v>
      </c>
      <c r="O40" t="s">
        <v>239</v>
      </c>
      <c r="P40" t="s">
        <v>239</v>
      </c>
      <c r="Q40">
        <v>1</v>
      </c>
      <c r="W40">
        <v>0</v>
      </c>
      <c r="X40">
        <v>-1173606021</v>
      </c>
      <c r="Y40">
        <v>1.48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1</v>
      </c>
      <c r="AJ40">
        <v>1</v>
      </c>
      <c r="AK40">
        <v>1</v>
      </c>
      <c r="AL40">
        <v>1</v>
      </c>
      <c r="AN40">
        <v>0</v>
      </c>
      <c r="AO40">
        <v>1</v>
      </c>
      <c r="AP40">
        <v>0</v>
      </c>
      <c r="AQ40">
        <v>0</v>
      </c>
      <c r="AR40">
        <v>0</v>
      </c>
      <c r="AS40" t="s">
        <v>3</v>
      </c>
      <c r="AT40">
        <v>1.48</v>
      </c>
      <c r="AU40" t="s">
        <v>3</v>
      </c>
      <c r="AV40">
        <v>2</v>
      </c>
      <c r="AW40">
        <v>2</v>
      </c>
      <c r="AX40">
        <v>73147536</v>
      </c>
      <c r="AY40">
        <v>1</v>
      </c>
      <c r="AZ40">
        <v>0</v>
      </c>
      <c r="BA40">
        <v>40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Y40*Source!I50</f>
        <v>13.882400000000001</v>
      </c>
      <c r="CY40">
        <f>AD40</f>
        <v>0</v>
      </c>
      <c r="CZ40">
        <f>AH40</f>
        <v>0</v>
      </c>
      <c r="DA40">
        <f>AL40</f>
        <v>1</v>
      </c>
      <c r="DB40">
        <f t="shared" si="8"/>
        <v>0</v>
      </c>
      <c r="DC40">
        <f t="shared" si="9"/>
        <v>0</v>
      </c>
    </row>
    <row r="41" spans="1:107">
      <c r="A41">
        <f>ROW(Source!A50)</f>
        <v>50</v>
      </c>
      <c r="B41">
        <v>73147424</v>
      </c>
      <c r="C41">
        <v>73147531</v>
      </c>
      <c r="D41">
        <v>55758922</v>
      </c>
      <c r="E41">
        <v>1</v>
      </c>
      <c r="F41">
        <v>1</v>
      </c>
      <c r="G41">
        <v>1</v>
      </c>
      <c r="H41">
        <v>2</v>
      </c>
      <c r="I41" t="s">
        <v>244</v>
      </c>
      <c r="J41" t="s">
        <v>245</v>
      </c>
      <c r="K41" t="s">
        <v>246</v>
      </c>
      <c r="L41">
        <v>1368</v>
      </c>
      <c r="N41">
        <v>1011</v>
      </c>
      <c r="O41" t="s">
        <v>247</v>
      </c>
      <c r="P41" t="s">
        <v>247</v>
      </c>
      <c r="Q41">
        <v>1</v>
      </c>
      <c r="W41">
        <v>0</v>
      </c>
      <c r="X41">
        <v>-167640300</v>
      </c>
      <c r="Y41">
        <v>1.48</v>
      </c>
      <c r="AA41">
        <v>0</v>
      </c>
      <c r="AB41">
        <v>199.96</v>
      </c>
      <c r="AC41">
        <v>11.6</v>
      </c>
      <c r="AD41">
        <v>0</v>
      </c>
      <c r="AE41">
        <v>0</v>
      </c>
      <c r="AF41">
        <v>199.96</v>
      </c>
      <c r="AG41">
        <v>11.6</v>
      </c>
      <c r="AH41">
        <v>0</v>
      </c>
      <c r="AI41">
        <v>1</v>
      </c>
      <c r="AJ41">
        <v>1</v>
      </c>
      <c r="AK41">
        <v>1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3</v>
      </c>
      <c r="AT41">
        <v>1.48</v>
      </c>
      <c r="AU41" t="s">
        <v>3</v>
      </c>
      <c r="AV41">
        <v>0</v>
      </c>
      <c r="AW41">
        <v>2</v>
      </c>
      <c r="AX41">
        <v>73147537</v>
      </c>
      <c r="AY41">
        <v>1</v>
      </c>
      <c r="AZ41">
        <v>0</v>
      </c>
      <c r="BA41">
        <v>41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Y41*Source!I50</f>
        <v>13.882400000000001</v>
      </c>
      <c r="CY41">
        <f>AB41</f>
        <v>199.96</v>
      </c>
      <c r="CZ41">
        <f>AF41</f>
        <v>199.96</v>
      </c>
      <c r="DA41">
        <f>AJ41</f>
        <v>1</v>
      </c>
      <c r="DB41">
        <f t="shared" si="8"/>
        <v>295.94</v>
      </c>
      <c r="DC41">
        <f t="shared" si="9"/>
        <v>17.170000000000002</v>
      </c>
    </row>
    <row r="42" spans="1:107">
      <c r="A42">
        <f>ROW(Source!A51)</f>
        <v>51</v>
      </c>
      <c r="B42">
        <v>73147422</v>
      </c>
      <c r="C42">
        <v>73147531</v>
      </c>
      <c r="D42">
        <v>55597804</v>
      </c>
      <c r="E42">
        <v>58</v>
      </c>
      <c r="F42">
        <v>1</v>
      </c>
      <c r="G42">
        <v>1</v>
      </c>
      <c r="H42">
        <v>1</v>
      </c>
      <c r="I42" t="s">
        <v>237</v>
      </c>
      <c r="J42" t="s">
        <v>3</v>
      </c>
      <c r="K42" t="s">
        <v>238</v>
      </c>
      <c r="L42">
        <v>1191</v>
      </c>
      <c r="N42">
        <v>1013</v>
      </c>
      <c r="O42" t="s">
        <v>239</v>
      </c>
      <c r="P42" t="s">
        <v>239</v>
      </c>
      <c r="Q42">
        <v>1</v>
      </c>
      <c r="W42">
        <v>0</v>
      </c>
      <c r="X42">
        <v>145020957</v>
      </c>
      <c r="Y42">
        <v>3.04</v>
      </c>
      <c r="AA42">
        <v>0</v>
      </c>
      <c r="AB42">
        <v>0</v>
      </c>
      <c r="AC42">
        <v>0</v>
      </c>
      <c r="AD42">
        <v>219.86</v>
      </c>
      <c r="AE42">
        <v>0</v>
      </c>
      <c r="AF42">
        <v>0</v>
      </c>
      <c r="AG42">
        <v>0</v>
      </c>
      <c r="AH42">
        <v>9.07</v>
      </c>
      <c r="AI42">
        <v>1</v>
      </c>
      <c r="AJ42">
        <v>1</v>
      </c>
      <c r="AK42">
        <v>1</v>
      </c>
      <c r="AL42">
        <v>24.24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3</v>
      </c>
      <c r="AT42">
        <v>3.04</v>
      </c>
      <c r="AU42" t="s">
        <v>3</v>
      </c>
      <c r="AV42">
        <v>1</v>
      </c>
      <c r="AW42">
        <v>2</v>
      </c>
      <c r="AX42">
        <v>73147535</v>
      </c>
      <c r="AY42">
        <v>1</v>
      </c>
      <c r="AZ42">
        <v>0</v>
      </c>
      <c r="BA42">
        <v>42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Y42*Source!I51</f>
        <v>28.515200000000004</v>
      </c>
      <c r="CY42">
        <f>AD42</f>
        <v>219.86</v>
      </c>
      <c r="CZ42">
        <f>AH42</f>
        <v>9.07</v>
      </c>
      <c r="DA42">
        <f>AL42</f>
        <v>24.24</v>
      </c>
      <c r="DB42">
        <f t="shared" si="8"/>
        <v>27.57</v>
      </c>
      <c r="DC42">
        <f t="shared" si="9"/>
        <v>0</v>
      </c>
    </row>
    <row r="43" spans="1:107">
      <c r="A43">
        <f>ROW(Source!A51)</f>
        <v>51</v>
      </c>
      <c r="B43">
        <v>73147422</v>
      </c>
      <c r="C43">
        <v>73147531</v>
      </c>
      <c r="D43">
        <v>55597967</v>
      </c>
      <c r="E43">
        <v>58</v>
      </c>
      <c r="F43">
        <v>1</v>
      </c>
      <c r="G43">
        <v>1</v>
      </c>
      <c r="H43">
        <v>1</v>
      </c>
      <c r="I43" t="s">
        <v>250</v>
      </c>
      <c r="J43" t="s">
        <v>3</v>
      </c>
      <c r="K43" t="s">
        <v>243</v>
      </c>
      <c r="L43">
        <v>1191</v>
      </c>
      <c r="N43">
        <v>1013</v>
      </c>
      <c r="O43" t="s">
        <v>239</v>
      </c>
      <c r="P43" t="s">
        <v>239</v>
      </c>
      <c r="Q43">
        <v>1</v>
      </c>
      <c r="W43">
        <v>0</v>
      </c>
      <c r="X43">
        <v>-1173606021</v>
      </c>
      <c r="Y43">
        <v>1.48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1</v>
      </c>
      <c r="AJ43">
        <v>1</v>
      </c>
      <c r="AK43">
        <v>24.24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1.48</v>
      </c>
      <c r="AU43" t="s">
        <v>3</v>
      </c>
      <c r="AV43">
        <v>2</v>
      </c>
      <c r="AW43">
        <v>2</v>
      </c>
      <c r="AX43">
        <v>73147536</v>
      </c>
      <c r="AY43">
        <v>1</v>
      </c>
      <c r="AZ43">
        <v>0</v>
      </c>
      <c r="BA43">
        <v>43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Y43*Source!I51</f>
        <v>13.882400000000001</v>
      </c>
      <c r="CY43">
        <f>AD43</f>
        <v>0</v>
      </c>
      <c r="CZ43">
        <f>AH43</f>
        <v>0</v>
      </c>
      <c r="DA43">
        <f>AL43</f>
        <v>1</v>
      </c>
      <c r="DB43">
        <f t="shared" si="8"/>
        <v>0</v>
      </c>
      <c r="DC43">
        <f t="shared" si="9"/>
        <v>0</v>
      </c>
    </row>
    <row r="44" spans="1:107">
      <c r="A44">
        <f>ROW(Source!A51)</f>
        <v>51</v>
      </c>
      <c r="B44">
        <v>73147422</v>
      </c>
      <c r="C44">
        <v>73147531</v>
      </c>
      <c r="D44">
        <v>55758922</v>
      </c>
      <c r="E44">
        <v>1</v>
      </c>
      <c r="F44">
        <v>1</v>
      </c>
      <c r="G44">
        <v>1</v>
      </c>
      <c r="H44">
        <v>2</v>
      </c>
      <c r="I44" t="s">
        <v>244</v>
      </c>
      <c r="J44" t="s">
        <v>245</v>
      </c>
      <c r="K44" t="s">
        <v>246</v>
      </c>
      <c r="L44">
        <v>1368</v>
      </c>
      <c r="N44">
        <v>1011</v>
      </c>
      <c r="O44" t="s">
        <v>247</v>
      </c>
      <c r="P44" t="s">
        <v>247</v>
      </c>
      <c r="Q44">
        <v>1</v>
      </c>
      <c r="W44">
        <v>0</v>
      </c>
      <c r="X44">
        <v>-167640300</v>
      </c>
      <c r="Y44">
        <v>1.48</v>
      </c>
      <c r="AA44">
        <v>0</v>
      </c>
      <c r="AB44">
        <v>1903.62</v>
      </c>
      <c r="AC44">
        <v>281.18</v>
      </c>
      <c r="AD44">
        <v>0</v>
      </c>
      <c r="AE44">
        <v>0</v>
      </c>
      <c r="AF44">
        <v>199.96</v>
      </c>
      <c r="AG44">
        <v>11.6</v>
      </c>
      <c r="AH44">
        <v>0</v>
      </c>
      <c r="AI44">
        <v>1</v>
      </c>
      <c r="AJ44">
        <v>9.52</v>
      </c>
      <c r="AK44">
        <v>24.24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1.48</v>
      </c>
      <c r="AU44" t="s">
        <v>3</v>
      </c>
      <c r="AV44">
        <v>0</v>
      </c>
      <c r="AW44">
        <v>2</v>
      </c>
      <c r="AX44">
        <v>73147537</v>
      </c>
      <c r="AY44">
        <v>1</v>
      </c>
      <c r="AZ44">
        <v>0</v>
      </c>
      <c r="BA44">
        <v>44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Y44*Source!I51</f>
        <v>13.882400000000001</v>
      </c>
      <c r="CY44">
        <f>AB44</f>
        <v>1903.62</v>
      </c>
      <c r="CZ44">
        <f>AF44</f>
        <v>199.96</v>
      </c>
      <c r="DA44">
        <f>AJ44</f>
        <v>9.52</v>
      </c>
      <c r="DB44">
        <f t="shared" si="8"/>
        <v>295.94</v>
      </c>
      <c r="DC44">
        <f t="shared" si="9"/>
        <v>17.170000000000002</v>
      </c>
    </row>
    <row r="45" spans="1:107">
      <c r="A45">
        <f>ROW(Source!A52)</f>
        <v>52</v>
      </c>
      <c r="B45">
        <v>73147424</v>
      </c>
      <c r="C45">
        <v>73147538</v>
      </c>
      <c r="D45">
        <v>55597804</v>
      </c>
      <c r="E45">
        <v>58</v>
      </c>
      <c r="F45">
        <v>1</v>
      </c>
      <c r="G45">
        <v>1</v>
      </c>
      <c r="H45">
        <v>1</v>
      </c>
      <c r="I45" t="s">
        <v>237</v>
      </c>
      <c r="J45" t="s">
        <v>3</v>
      </c>
      <c r="K45" t="s">
        <v>238</v>
      </c>
      <c r="L45">
        <v>1191</v>
      </c>
      <c r="N45">
        <v>1013</v>
      </c>
      <c r="O45" t="s">
        <v>239</v>
      </c>
      <c r="P45" t="s">
        <v>239</v>
      </c>
      <c r="Q45">
        <v>1</v>
      </c>
      <c r="W45">
        <v>0</v>
      </c>
      <c r="X45">
        <v>145020957</v>
      </c>
      <c r="Y45">
        <v>1.1100000000000001</v>
      </c>
      <c r="AA45">
        <v>0</v>
      </c>
      <c r="AB45">
        <v>0</v>
      </c>
      <c r="AC45">
        <v>0</v>
      </c>
      <c r="AD45">
        <v>9.07</v>
      </c>
      <c r="AE45">
        <v>0</v>
      </c>
      <c r="AF45">
        <v>0</v>
      </c>
      <c r="AG45">
        <v>0</v>
      </c>
      <c r="AH45">
        <v>9.07</v>
      </c>
      <c r="AI45">
        <v>1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1.1100000000000001</v>
      </c>
      <c r="AU45" t="s">
        <v>3</v>
      </c>
      <c r="AV45">
        <v>1</v>
      </c>
      <c r="AW45">
        <v>2</v>
      </c>
      <c r="AX45">
        <v>73147542</v>
      </c>
      <c r="AY45">
        <v>1</v>
      </c>
      <c r="AZ45">
        <v>0</v>
      </c>
      <c r="BA45">
        <v>45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Y45*Source!I52</f>
        <v>28.937700000000003</v>
      </c>
      <c r="CY45">
        <f>AD45</f>
        <v>9.07</v>
      </c>
      <c r="CZ45">
        <f>AH45</f>
        <v>9.07</v>
      </c>
      <c r="DA45">
        <f>AL45</f>
        <v>1</v>
      </c>
      <c r="DB45">
        <f t="shared" si="8"/>
        <v>10.07</v>
      </c>
      <c r="DC45">
        <f t="shared" si="9"/>
        <v>0</v>
      </c>
    </row>
    <row r="46" spans="1:107">
      <c r="A46">
        <f>ROW(Source!A52)</f>
        <v>52</v>
      </c>
      <c r="B46">
        <v>73147424</v>
      </c>
      <c r="C46">
        <v>73147538</v>
      </c>
      <c r="D46">
        <v>55597967</v>
      </c>
      <c r="E46">
        <v>58</v>
      </c>
      <c r="F46">
        <v>1</v>
      </c>
      <c r="G46">
        <v>1</v>
      </c>
      <c r="H46">
        <v>1</v>
      </c>
      <c r="I46" t="s">
        <v>250</v>
      </c>
      <c r="J46" t="s">
        <v>3</v>
      </c>
      <c r="K46" t="s">
        <v>243</v>
      </c>
      <c r="L46">
        <v>1191</v>
      </c>
      <c r="N46">
        <v>1013</v>
      </c>
      <c r="O46" t="s">
        <v>239</v>
      </c>
      <c r="P46" t="s">
        <v>239</v>
      </c>
      <c r="Q46">
        <v>1</v>
      </c>
      <c r="W46">
        <v>0</v>
      </c>
      <c r="X46">
        <v>-1173606021</v>
      </c>
      <c r="Y46">
        <v>0.54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1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0</v>
      </c>
      <c r="AQ46">
        <v>0</v>
      </c>
      <c r="AR46">
        <v>0</v>
      </c>
      <c r="AS46" t="s">
        <v>3</v>
      </c>
      <c r="AT46">
        <v>0.54</v>
      </c>
      <c r="AU46" t="s">
        <v>3</v>
      </c>
      <c r="AV46">
        <v>2</v>
      </c>
      <c r="AW46">
        <v>2</v>
      </c>
      <c r="AX46">
        <v>73147543</v>
      </c>
      <c r="AY46">
        <v>1</v>
      </c>
      <c r="AZ46">
        <v>0</v>
      </c>
      <c r="BA46">
        <v>46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Y46*Source!I52</f>
        <v>14.077800000000002</v>
      </c>
      <c r="CY46">
        <f>AD46</f>
        <v>0</v>
      </c>
      <c r="CZ46">
        <f>AH46</f>
        <v>0</v>
      </c>
      <c r="DA46">
        <f>AL46</f>
        <v>1</v>
      </c>
      <c r="DB46">
        <f t="shared" si="8"/>
        <v>0</v>
      </c>
      <c r="DC46">
        <f t="shared" si="9"/>
        <v>0</v>
      </c>
    </row>
    <row r="47" spans="1:107">
      <c r="A47">
        <f>ROW(Source!A52)</f>
        <v>52</v>
      </c>
      <c r="B47">
        <v>73147424</v>
      </c>
      <c r="C47">
        <v>73147538</v>
      </c>
      <c r="D47">
        <v>55758922</v>
      </c>
      <c r="E47">
        <v>1</v>
      </c>
      <c r="F47">
        <v>1</v>
      </c>
      <c r="G47">
        <v>1</v>
      </c>
      <c r="H47">
        <v>2</v>
      </c>
      <c r="I47" t="s">
        <v>244</v>
      </c>
      <c r="J47" t="s">
        <v>245</v>
      </c>
      <c r="K47" t="s">
        <v>246</v>
      </c>
      <c r="L47">
        <v>1368</v>
      </c>
      <c r="N47">
        <v>1011</v>
      </c>
      <c r="O47" t="s">
        <v>247</v>
      </c>
      <c r="P47" t="s">
        <v>247</v>
      </c>
      <c r="Q47">
        <v>1</v>
      </c>
      <c r="W47">
        <v>0</v>
      </c>
      <c r="X47">
        <v>-167640300</v>
      </c>
      <c r="Y47">
        <v>0.54</v>
      </c>
      <c r="AA47">
        <v>0</v>
      </c>
      <c r="AB47">
        <v>199.96</v>
      </c>
      <c r="AC47">
        <v>11.6</v>
      </c>
      <c r="AD47">
        <v>0</v>
      </c>
      <c r="AE47">
        <v>0</v>
      </c>
      <c r="AF47">
        <v>199.96</v>
      </c>
      <c r="AG47">
        <v>11.6</v>
      </c>
      <c r="AH47">
        <v>0</v>
      </c>
      <c r="AI47">
        <v>1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</v>
      </c>
      <c r="AT47">
        <v>0.54</v>
      </c>
      <c r="AU47" t="s">
        <v>3</v>
      </c>
      <c r="AV47">
        <v>0</v>
      </c>
      <c r="AW47">
        <v>2</v>
      </c>
      <c r="AX47">
        <v>73147544</v>
      </c>
      <c r="AY47">
        <v>1</v>
      </c>
      <c r="AZ47">
        <v>0</v>
      </c>
      <c r="BA47">
        <v>47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Y47*Source!I52</f>
        <v>14.077800000000002</v>
      </c>
      <c r="CY47">
        <f>AB47</f>
        <v>199.96</v>
      </c>
      <c r="CZ47">
        <f>AF47</f>
        <v>199.96</v>
      </c>
      <c r="DA47">
        <f>AJ47</f>
        <v>1</v>
      </c>
      <c r="DB47">
        <f t="shared" si="8"/>
        <v>107.98</v>
      </c>
      <c r="DC47">
        <f t="shared" si="9"/>
        <v>6.26</v>
      </c>
    </row>
    <row r="48" spans="1:107">
      <c r="A48">
        <f>ROW(Source!A53)</f>
        <v>53</v>
      </c>
      <c r="B48">
        <v>73147422</v>
      </c>
      <c r="C48">
        <v>73147538</v>
      </c>
      <c r="D48">
        <v>55597804</v>
      </c>
      <c r="E48">
        <v>58</v>
      </c>
      <c r="F48">
        <v>1</v>
      </c>
      <c r="G48">
        <v>1</v>
      </c>
      <c r="H48">
        <v>1</v>
      </c>
      <c r="I48" t="s">
        <v>237</v>
      </c>
      <c r="J48" t="s">
        <v>3</v>
      </c>
      <c r="K48" t="s">
        <v>238</v>
      </c>
      <c r="L48">
        <v>1191</v>
      </c>
      <c r="N48">
        <v>1013</v>
      </c>
      <c r="O48" t="s">
        <v>239</v>
      </c>
      <c r="P48" t="s">
        <v>239</v>
      </c>
      <c r="Q48">
        <v>1</v>
      </c>
      <c r="W48">
        <v>0</v>
      </c>
      <c r="X48">
        <v>145020957</v>
      </c>
      <c r="Y48">
        <v>1.1100000000000001</v>
      </c>
      <c r="AA48">
        <v>0</v>
      </c>
      <c r="AB48">
        <v>0</v>
      </c>
      <c r="AC48">
        <v>0</v>
      </c>
      <c r="AD48">
        <v>219.86</v>
      </c>
      <c r="AE48">
        <v>0</v>
      </c>
      <c r="AF48">
        <v>0</v>
      </c>
      <c r="AG48">
        <v>0</v>
      </c>
      <c r="AH48">
        <v>9.07</v>
      </c>
      <c r="AI48">
        <v>1</v>
      </c>
      <c r="AJ48">
        <v>1</v>
      </c>
      <c r="AK48">
        <v>1</v>
      </c>
      <c r="AL48">
        <v>24.24</v>
      </c>
      <c r="AN48">
        <v>0</v>
      </c>
      <c r="AO48">
        <v>1</v>
      </c>
      <c r="AP48">
        <v>0</v>
      </c>
      <c r="AQ48">
        <v>0</v>
      </c>
      <c r="AR48">
        <v>0</v>
      </c>
      <c r="AS48" t="s">
        <v>3</v>
      </c>
      <c r="AT48">
        <v>1.1100000000000001</v>
      </c>
      <c r="AU48" t="s">
        <v>3</v>
      </c>
      <c r="AV48">
        <v>1</v>
      </c>
      <c r="AW48">
        <v>2</v>
      </c>
      <c r="AX48">
        <v>73147542</v>
      </c>
      <c r="AY48">
        <v>1</v>
      </c>
      <c r="AZ48">
        <v>0</v>
      </c>
      <c r="BA48">
        <v>48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Y48*Source!I53</f>
        <v>28.937700000000003</v>
      </c>
      <c r="CY48">
        <f>AD48</f>
        <v>219.86</v>
      </c>
      <c r="CZ48">
        <f>AH48</f>
        <v>9.07</v>
      </c>
      <c r="DA48">
        <f>AL48</f>
        <v>24.24</v>
      </c>
      <c r="DB48">
        <f t="shared" si="8"/>
        <v>10.07</v>
      </c>
      <c r="DC48">
        <f t="shared" si="9"/>
        <v>0</v>
      </c>
    </row>
    <row r="49" spans="1:107">
      <c r="A49">
        <f>ROW(Source!A53)</f>
        <v>53</v>
      </c>
      <c r="B49">
        <v>73147422</v>
      </c>
      <c r="C49">
        <v>73147538</v>
      </c>
      <c r="D49">
        <v>55597967</v>
      </c>
      <c r="E49">
        <v>58</v>
      </c>
      <c r="F49">
        <v>1</v>
      </c>
      <c r="G49">
        <v>1</v>
      </c>
      <c r="H49">
        <v>1</v>
      </c>
      <c r="I49" t="s">
        <v>250</v>
      </c>
      <c r="J49" t="s">
        <v>3</v>
      </c>
      <c r="K49" t="s">
        <v>243</v>
      </c>
      <c r="L49">
        <v>1191</v>
      </c>
      <c r="N49">
        <v>1013</v>
      </c>
      <c r="O49" t="s">
        <v>239</v>
      </c>
      <c r="P49" t="s">
        <v>239</v>
      </c>
      <c r="Q49">
        <v>1</v>
      </c>
      <c r="W49">
        <v>0</v>
      </c>
      <c r="X49">
        <v>-1173606021</v>
      </c>
      <c r="Y49">
        <v>0.54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1</v>
      </c>
      <c r="AJ49">
        <v>1</v>
      </c>
      <c r="AK49">
        <v>24.24</v>
      </c>
      <c r="AL49">
        <v>1</v>
      </c>
      <c r="AN49">
        <v>0</v>
      </c>
      <c r="AO49">
        <v>1</v>
      </c>
      <c r="AP49">
        <v>0</v>
      </c>
      <c r="AQ49">
        <v>0</v>
      </c>
      <c r="AR49">
        <v>0</v>
      </c>
      <c r="AS49" t="s">
        <v>3</v>
      </c>
      <c r="AT49">
        <v>0.54</v>
      </c>
      <c r="AU49" t="s">
        <v>3</v>
      </c>
      <c r="AV49">
        <v>2</v>
      </c>
      <c r="AW49">
        <v>2</v>
      </c>
      <c r="AX49">
        <v>73147543</v>
      </c>
      <c r="AY49">
        <v>1</v>
      </c>
      <c r="AZ49">
        <v>0</v>
      </c>
      <c r="BA49">
        <v>49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Y49*Source!I53</f>
        <v>14.077800000000002</v>
      </c>
      <c r="CY49">
        <f>AD49</f>
        <v>0</v>
      </c>
      <c r="CZ49">
        <f>AH49</f>
        <v>0</v>
      </c>
      <c r="DA49">
        <f>AL49</f>
        <v>1</v>
      </c>
      <c r="DB49">
        <f t="shared" si="8"/>
        <v>0</v>
      </c>
      <c r="DC49">
        <f t="shared" si="9"/>
        <v>0</v>
      </c>
    </row>
    <row r="50" spans="1:107">
      <c r="A50">
        <f>ROW(Source!A53)</f>
        <v>53</v>
      </c>
      <c r="B50">
        <v>73147422</v>
      </c>
      <c r="C50">
        <v>73147538</v>
      </c>
      <c r="D50">
        <v>55758922</v>
      </c>
      <c r="E50">
        <v>1</v>
      </c>
      <c r="F50">
        <v>1</v>
      </c>
      <c r="G50">
        <v>1</v>
      </c>
      <c r="H50">
        <v>2</v>
      </c>
      <c r="I50" t="s">
        <v>244</v>
      </c>
      <c r="J50" t="s">
        <v>245</v>
      </c>
      <c r="K50" t="s">
        <v>246</v>
      </c>
      <c r="L50">
        <v>1368</v>
      </c>
      <c r="N50">
        <v>1011</v>
      </c>
      <c r="O50" t="s">
        <v>247</v>
      </c>
      <c r="P50" t="s">
        <v>247</v>
      </c>
      <c r="Q50">
        <v>1</v>
      </c>
      <c r="W50">
        <v>0</v>
      </c>
      <c r="X50">
        <v>-167640300</v>
      </c>
      <c r="Y50">
        <v>0.54</v>
      </c>
      <c r="AA50">
        <v>0</v>
      </c>
      <c r="AB50">
        <v>1903.62</v>
      </c>
      <c r="AC50">
        <v>281.18</v>
      </c>
      <c r="AD50">
        <v>0</v>
      </c>
      <c r="AE50">
        <v>0</v>
      </c>
      <c r="AF50">
        <v>199.96</v>
      </c>
      <c r="AG50">
        <v>11.6</v>
      </c>
      <c r="AH50">
        <v>0</v>
      </c>
      <c r="AI50">
        <v>1</v>
      </c>
      <c r="AJ50">
        <v>9.52</v>
      </c>
      <c r="AK50">
        <v>24.24</v>
      </c>
      <c r="AL50">
        <v>1</v>
      </c>
      <c r="AN50">
        <v>0</v>
      </c>
      <c r="AO50">
        <v>1</v>
      </c>
      <c r="AP50">
        <v>0</v>
      </c>
      <c r="AQ50">
        <v>0</v>
      </c>
      <c r="AR50">
        <v>0</v>
      </c>
      <c r="AS50" t="s">
        <v>3</v>
      </c>
      <c r="AT50">
        <v>0.54</v>
      </c>
      <c r="AU50" t="s">
        <v>3</v>
      </c>
      <c r="AV50">
        <v>0</v>
      </c>
      <c r="AW50">
        <v>2</v>
      </c>
      <c r="AX50">
        <v>73147544</v>
      </c>
      <c r="AY50">
        <v>1</v>
      </c>
      <c r="AZ50">
        <v>0</v>
      </c>
      <c r="BA50">
        <v>50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Y50*Source!I53</f>
        <v>14.077800000000002</v>
      </c>
      <c r="CY50">
        <f>AB50</f>
        <v>1903.62</v>
      </c>
      <c r="CZ50">
        <f>AF50</f>
        <v>199.96</v>
      </c>
      <c r="DA50">
        <f>AJ50</f>
        <v>9.52</v>
      </c>
      <c r="DB50">
        <f t="shared" si="8"/>
        <v>107.98</v>
      </c>
      <c r="DC50">
        <f t="shared" si="9"/>
        <v>6.26</v>
      </c>
    </row>
    <row r="51" spans="1:107">
      <c r="A51">
        <f>ROW(Source!A58)</f>
        <v>58</v>
      </c>
      <c r="B51">
        <v>73147424</v>
      </c>
      <c r="C51">
        <v>73147550</v>
      </c>
      <c r="D51">
        <v>55597788</v>
      </c>
      <c r="E51">
        <v>58</v>
      </c>
      <c r="F51">
        <v>1</v>
      </c>
      <c r="G51">
        <v>1</v>
      </c>
      <c r="H51">
        <v>1</v>
      </c>
      <c r="I51" t="s">
        <v>240</v>
      </c>
      <c r="J51" t="s">
        <v>3</v>
      </c>
      <c r="K51" t="s">
        <v>241</v>
      </c>
      <c r="L51">
        <v>1191</v>
      </c>
      <c r="N51">
        <v>1013</v>
      </c>
      <c r="O51" t="s">
        <v>239</v>
      </c>
      <c r="P51" t="s">
        <v>239</v>
      </c>
      <c r="Q51">
        <v>1</v>
      </c>
      <c r="W51">
        <v>0</v>
      </c>
      <c r="X51">
        <v>-400197608</v>
      </c>
      <c r="Y51">
        <v>9.06</v>
      </c>
      <c r="AA51">
        <v>0</v>
      </c>
      <c r="AB51">
        <v>0</v>
      </c>
      <c r="AC51">
        <v>0</v>
      </c>
      <c r="AD51">
        <v>8.5299999999999994</v>
      </c>
      <c r="AE51">
        <v>0</v>
      </c>
      <c r="AF51">
        <v>0</v>
      </c>
      <c r="AG51">
        <v>0</v>
      </c>
      <c r="AH51">
        <v>8.5299999999999994</v>
      </c>
      <c r="AI51">
        <v>1</v>
      </c>
      <c r="AJ51">
        <v>1</v>
      </c>
      <c r="AK51">
        <v>1</v>
      </c>
      <c r="AL51">
        <v>1</v>
      </c>
      <c r="AN51">
        <v>0</v>
      </c>
      <c r="AO51">
        <v>1</v>
      </c>
      <c r="AP51">
        <v>0</v>
      </c>
      <c r="AQ51">
        <v>0</v>
      </c>
      <c r="AR51">
        <v>0</v>
      </c>
      <c r="AS51" t="s">
        <v>3</v>
      </c>
      <c r="AT51">
        <v>9.06</v>
      </c>
      <c r="AU51" t="s">
        <v>3</v>
      </c>
      <c r="AV51">
        <v>1</v>
      </c>
      <c r="AW51">
        <v>2</v>
      </c>
      <c r="AX51">
        <v>73147552</v>
      </c>
      <c r="AY51">
        <v>1</v>
      </c>
      <c r="AZ51">
        <v>0</v>
      </c>
      <c r="BA51">
        <v>51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Y51*Source!I58</f>
        <v>508.99080000000004</v>
      </c>
      <c r="CY51">
        <f>AD51</f>
        <v>8.5299999999999994</v>
      </c>
      <c r="CZ51">
        <f>AH51</f>
        <v>8.5299999999999994</v>
      </c>
      <c r="DA51">
        <f>AL51</f>
        <v>1</v>
      </c>
      <c r="DB51">
        <f t="shared" si="8"/>
        <v>77.28</v>
      </c>
      <c r="DC51">
        <f t="shared" si="9"/>
        <v>0</v>
      </c>
    </row>
    <row r="52" spans="1:107">
      <c r="A52">
        <f>ROW(Source!A59)</f>
        <v>59</v>
      </c>
      <c r="B52">
        <v>73147422</v>
      </c>
      <c r="C52">
        <v>73147550</v>
      </c>
      <c r="D52">
        <v>55597788</v>
      </c>
      <c r="E52">
        <v>58</v>
      </c>
      <c r="F52">
        <v>1</v>
      </c>
      <c r="G52">
        <v>1</v>
      </c>
      <c r="H52">
        <v>1</v>
      </c>
      <c r="I52" t="s">
        <v>240</v>
      </c>
      <c r="J52" t="s">
        <v>3</v>
      </c>
      <c r="K52" t="s">
        <v>241</v>
      </c>
      <c r="L52">
        <v>1191</v>
      </c>
      <c r="N52">
        <v>1013</v>
      </c>
      <c r="O52" t="s">
        <v>239</v>
      </c>
      <c r="P52" t="s">
        <v>239</v>
      </c>
      <c r="Q52">
        <v>1</v>
      </c>
      <c r="W52">
        <v>0</v>
      </c>
      <c r="X52">
        <v>-400197608</v>
      </c>
      <c r="Y52">
        <v>9.06</v>
      </c>
      <c r="AA52">
        <v>0</v>
      </c>
      <c r="AB52">
        <v>0</v>
      </c>
      <c r="AC52">
        <v>0</v>
      </c>
      <c r="AD52">
        <v>206.77</v>
      </c>
      <c r="AE52">
        <v>0</v>
      </c>
      <c r="AF52">
        <v>0</v>
      </c>
      <c r="AG52">
        <v>0</v>
      </c>
      <c r="AH52">
        <v>8.5299999999999994</v>
      </c>
      <c r="AI52">
        <v>1</v>
      </c>
      <c r="AJ52">
        <v>1</v>
      </c>
      <c r="AK52">
        <v>1</v>
      </c>
      <c r="AL52">
        <v>24.24</v>
      </c>
      <c r="AN52">
        <v>0</v>
      </c>
      <c r="AO52">
        <v>1</v>
      </c>
      <c r="AP52">
        <v>0</v>
      </c>
      <c r="AQ52">
        <v>0</v>
      </c>
      <c r="AR52">
        <v>0</v>
      </c>
      <c r="AS52" t="s">
        <v>3</v>
      </c>
      <c r="AT52">
        <v>9.06</v>
      </c>
      <c r="AU52" t="s">
        <v>3</v>
      </c>
      <c r="AV52">
        <v>1</v>
      </c>
      <c r="AW52">
        <v>2</v>
      </c>
      <c r="AX52">
        <v>73147552</v>
      </c>
      <c r="AY52">
        <v>1</v>
      </c>
      <c r="AZ52">
        <v>0</v>
      </c>
      <c r="BA52">
        <v>52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Y52*Source!I59</f>
        <v>508.99080000000004</v>
      </c>
      <c r="CY52">
        <f>AD52</f>
        <v>206.77</v>
      </c>
      <c r="CZ52">
        <f>AH52</f>
        <v>8.5299999999999994</v>
      </c>
      <c r="DA52">
        <f>AL52</f>
        <v>24.24</v>
      </c>
      <c r="DB52">
        <f t="shared" si="8"/>
        <v>77.28</v>
      </c>
      <c r="DC52">
        <f t="shared" si="9"/>
        <v>0</v>
      </c>
    </row>
    <row r="53" spans="1:107">
      <c r="A53">
        <f>ROW(Source!A60)</f>
        <v>60</v>
      </c>
      <c r="B53">
        <v>73147424</v>
      </c>
      <c r="C53">
        <v>73147553</v>
      </c>
      <c r="D53">
        <v>55597804</v>
      </c>
      <c r="E53">
        <v>58</v>
      </c>
      <c r="F53">
        <v>1</v>
      </c>
      <c r="G53">
        <v>1</v>
      </c>
      <c r="H53">
        <v>1</v>
      </c>
      <c r="I53" t="s">
        <v>237</v>
      </c>
      <c r="J53" t="s">
        <v>3</v>
      </c>
      <c r="K53" t="s">
        <v>238</v>
      </c>
      <c r="L53">
        <v>1191</v>
      </c>
      <c r="N53">
        <v>1013</v>
      </c>
      <c r="O53" t="s">
        <v>239</v>
      </c>
      <c r="P53" t="s">
        <v>239</v>
      </c>
      <c r="Q53">
        <v>1</v>
      </c>
      <c r="W53">
        <v>0</v>
      </c>
      <c r="X53">
        <v>145020957</v>
      </c>
      <c r="Y53">
        <v>1.33</v>
      </c>
      <c r="AA53">
        <v>0</v>
      </c>
      <c r="AB53">
        <v>0</v>
      </c>
      <c r="AC53">
        <v>0</v>
      </c>
      <c r="AD53">
        <v>9.07</v>
      </c>
      <c r="AE53">
        <v>0</v>
      </c>
      <c r="AF53">
        <v>0</v>
      </c>
      <c r="AG53">
        <v>0</v>
      </c>
      <c r="AH53">
        <v>9.07</v>
      </c>
      <c r="AI53">
        <v>1</v>
      </c>
      <c r="AJ53">
        <v>1</v>
      </c>
      <c r="AK53">
        <v>1</v>
      </c>
      <c r="AL53">
        <v>1</v>
      </c>
      <c r="AN53">
        <v>0</v>
      </c>
      <c r="AO53">
        <v>1</v>
      </c>
      <c r="AP53">
        <v>0</v>
      </c>
      <c r="AQ53">
        <v>0</v>
      </c>
      <c r="AR53">
        <v>0</v>
      </c>
      <c r="AS53" t="s">
        <v>3</v>
      </c>
      <c r="AT53">
        <v>1.33</v>
      </c>
      <c r="AU53" t="s">
        <v>3</v>
      </c>
      <c r="AV53">
        <v>1</v>
      </c>
      <c r="AW53">
        <v>2</v>
      </c>
      <c r="AX53">
        <v>73147557</v>
      </c>
      <c r="AY53">
        <v>1</v>
      </c>
      <c r="AZ53">
        <v>0</v>
      </c>
      <c r="BA53">
        <v>53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Y53*Source!I60</f>
        <v>0</v>
      </c>
      <c r="CY53">
        <f>AD53</f>
        <v>9.07</v>
      </c>
      <c r="CZ53">
        <f>AH53</f>
        <v>9.07</v>
      </c>
      <c r="DA53">
        <f>AL53</f>
        <v>1</v>
      </c>
      <c r="DB53">
        <f t="shared" si="8"/>
        <v>12.06</v>
      </c>
      <c r="DC53">
        <f t="shared" si="9"/>
        <v>0</v>
      </c>
    </row>
    <row r="54" spans="1:107">
      <c r="A54">
        <f>ROW(Source!A60)</f>
        <v>60</v>
      </c>
      <c r="B54">
        <v>73147424</v>
      </c>
      <c r="C54">
        <v>73147553</v>
      </c>
      <c r="D54">
        <v>55597967</v>
      </c>
      <c r="E54">
        <v>58</v>
      </c>
      <c r="F54">
        <v>1</v>
      </c>
      <c r="G54">
        <v>1</v>
      </c>
      <c r="H54">
        <v>1</v>
      </c>
      <c r="I54" t="s">
        <v>250</v>
      </c>
      <c r="J54" t="s">
        <v>3</v>
      </c>
      <c r="K54" t="s">
        <v>243</v>
      </c>
      <c r="L54">
        <v>1191</v>
      </c>
      <c r="N54">
        <v>1013</v>
      </c>
      <c r="O54" t="s">
        <v>239</v>
      </c>
      <c r="P54" t="s">
        <v>239</v>
      </c>
      <c r="Q54">
        <v>1</v>
      </c>
      <c r="W54">
        <v>0</v>
      </c>
      <c r="X54">
        <v>-1173606021</v>
      </c>
      <c r="Y54">
        <v>0.65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1</v>
      </c>
      <c r="AJ54">
        <v>1</v>
      </c>
      <c r="AK54">
        <v>1</v>
      </c>
      <c r="AL54">
        <v>1</v>
      </c>
      <c r="AN54">
        <v>0</v>
      </c>
      <c r="AO54">
        <v>1</v>
      </c>
      <c r="AP54">
        <v>0</v>
      </c>
      <c r="AQ54">
        <v>0</v>
      </c>
      <c r="AR54">
        <v>0</v>
      </c>
      <c r="AS54" t="s">
        <v>3</v>
      </c>
      <c r="AT54">
        <v>0.65</v>
      </c>
      <c r="AU54" t="s">
        <v>3</v>
      </c>
      <c r="AV54">
        <v>2</v>
      </c>
      <c r="AW54">
        <v>2</v>
      </c>
      <c r="AX54">
        <v>73147558</v>
      </c>
      <c r="AY54">
        <v>1</v>
      </c>
      <c r="AZ54">
        <v>0</v>
      </c>
      <c r="BA54">
        <v>54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Y54*Source!I60</f>
        <v>0</v>
      </c>
      <c r="CY54">
        <f>AD54</f>
        <v>0</v>
      </c>
      <c r="CZ54">
        <f>AH54</f>
        <v>0</v>
      </c>
      <c r="DA54">
        <f>AL54</f>
        <v>1</v>
      </c>
      <c r="DB54">
        <f t="shared" si="8"/>
        <v>0</v>
      </c>
      <c r="DC54">
        <f t="shared" si="9"/>
        <v>0</v>
      </c>
    </row>
    <row r="55" spans="1:107">
      <c r="A55">
        <f>ROW(Source!A60)</f>
        <v>60</v>
      </c>
      <c r="B55">
        <v>73147424</v>
      </c>
      <c r="C55">
        <v>73147553</v>
      </c>
      <c r="D55">
        <v>55758922</v>
      </c>
      <c r="E55">
        <v>1</v>
      </c>
      <c r="F55">
        <v>1</v>
      </c>
      <c r="G55">
        <v>1</v>
      </c>
      <c r="H55">
        <v>2</v>
      </c>
      <c r="I55" t="s">
        <v>244</v>
      </c>
      <c r="J55" t="s">
        <v>245</v>
      </c>
      <c r="K55" t="s">
        <v>246</v>
      </c>
      <c r="L55">
        <v>1368</v>
      </c>
      <c r="N55">
        <v>1011</v>
      </c>
      <c r="O55" t="s">
        <v>247</v>
      </c>
      <c r="P55" t="s">
        <v>247</v>
      </c>
      <c r="Q55">
        <v>1</v>
      </c>
      <c r="W55">
        <v>0</v>
      </c>
      <c r="X55">
        <v>-167640300</v>
      </c>
      <c r="Y55">
        <v>0.65</v>
      </c>
      <c r="AA55">
        <v>0</v>
      </c>
      <c r="AB55">
        <v>199.96</v>
      </c>
      <c r="AC55">
        <v>11.6</v>
      </c>
      <c r="AD55">
        <v>0</v>
      </c>
      <c r="AE55">
        <v>0</v>
      </c>
      <c r="AF55">
        <v>199.96</v>
      </c>
      <c r="AG55">
        <v>11.6</v>
      </c>
      <c r="AH55">
        <v>0</v>
      </c>
      <c r="AI55">
        <v>1</v>
      </c>
      <c r="AJ55">
        <v>1</v>
      </c>
      <c r="AK55">
        <v>1</v>
      </c>
      <c r="AL55">
        <v>1</v>
      </c>
      <c r="AN55">
        <v>0</v>
      </c>
      <c r="AO55">
        <v>1</v>
      </c>
      <c r="AP55">
        <v>0</v>
      </c>
      <c r="AQ55">
        <v>0</v>
      </c>
      <c r="AR55">
        <v>0</v>
      </c>
      <c r="AS55" t="s">
        <v>3</v>
      </c>
      <c r="AT55">
        <v>0.65</v>
      </c>
      <c r="AU55" t="s">
        <v>3</v>
      </c>
      <c r="AV55">
        <v>0</v>
      </c>
      <c r="AW55">
        <v>2</v>
      </c>
      <c r="AX55">
        <v>73147559</v>
      </c>
      <c r="AY55">
        <v>1</v>
      </c>
      <c r="AZ55">
        <v>0</v>
      </c>
      <c r="BA55">
        <v>55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Y55*Source!I60</f>
        <v>0</v>
      </c>
      <c r="CY55">
        <f>AB55</f>
        <v>199.96</v>
      </c>
      <c r="CZ55">
        <f>AF55</f>
        <v>199.96</v>
      </c>
      <c r="DA55">
        <f>AJ55</f>
        <v>1</v>
      </c>
      <c r="DB55">
        <f t="shared" si="8"/>
        <v>129.97</v>
      </c>
      <c r="DC55">
        <f t="shared" si="9"/>
        <v>7.54</v>
      </c>
    </row>
    <row r="56" spans="1:107">
      <c r="A56">
        <f>ROW(Source!A61)</f>
        <v>61</v>
      </c>
      <c r="B56">
        <v>73147422</v>
      </c>
      <c r="C56">
        <v>73147553</v>
      </c>
      <c r="D56">
        <v>55597804</v>
      </c>
      <c r="E56">
        <v>58</v>
      </c>
      <c r="F56">
        <v>1</v>
      </c>
      <c r="G56">
        <v>1</v>
      </c>
      <c r="H56">
        <v>1</v>
      </c>
      <c r="I56" t="s">
        <v>237</v>
      </c>
      <c r="J56" t="s">
        <v>3</v>
      </c>
      <c r="K56" t="s">
        <v>238</v>
      </c>
      <c r="L56">
        <v>1191</v>
      </c>
      <c r="N56">
        <v>1013</v>
      </c>
      <c r="O56" t="s">
        <v>239</v>
      </c>
      <c r="P56" t="s">
        <v>239</v>
      </c>
      <c r="Q56">
        <v>1</v>
      </c>
      <c r="W56">
        <v>0</v>
      </c>
      <c r="X56">
        <v>145020957</v>
      </c>
      <c r="Y56">
        <v>1.33</v>
      </c>
      <c r="AA56">
        <v>0</v>
      </c>
      <c r="AB56">
        <v>0</v>
      </c>
      <c r="AC56">
        <v>0</v>
      </c>
      <c r="AD56">
        <v>219.86</v>
      </c>
      <c r="AE56">
        <v>0</v>
      </c>
      <c r="AF56">
        <v>0</v>
      </c>
      <c r="AG56">
        <v>0</v>
      </c>
      <c r="AH56">
        <v>9.07</v>
      </c>
      <c r="AI56">
        <v>1</v>
      </c>
      <c r="AJ56">
        <v>1</v>
      </c>
      <c r="AK56">
        <v>1</v>
      </c>
      <c r="AL56">
        <v>24.24</v>
      </c>
      <c r="AN56">
        <v>0</v>
      </c>
      <c r="AO56">
        <v>1</v>
      </c>
      <c r="AP56">
        <v>0</v>
      </c>
      <c r="AQ56">
        <v>0</v>
      </c>
      <c r="AR56">
        <v>0</v>
      </c>
      <c r="AS56" t="s">
        <v>3</v>
      </c>
      <c r="AT56">
        <v>1.33</v>
      </c>
      <c r="AU56" t="s">
        <v>3</v>
      </c>
      <c r="AV56">
        <v>1</v>
      </c>
      <c r="AW56">
        <v>2</v>
      </c>
      <c r="AX56">
        <v>73147557</v>
      </c>
      <c r="AY56">
        <v>1</v>
      </c>
      <c r="AZ56">
        <v>0</v>
      </c>
      <c r="BA56">
        <v>56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Y56*Source!I61</f>
        <v>0</v>
      </c>
      <c r="CY56">
        <f>AD56</f>
        <v>219.86</v>
      </c>
      <c r="CZ56">
        <f>AH56</f>
        <v>9.07</v>
      </c>
      <c r="DA56">
        <f>AL56</f>
        <v>24.24</v>
      </c>
      <c r="DB56">
        <f t="shared" si="8"/>
        <v>12.06</v>
      </c>
      <c r="DC56">
        <f t="shared" si="9"/>
        <v>0</v>
      </c>
    </row>
    <row r="57" spans="1:107">
      <c r="A57">
        <f>ROW(Source!A61)</f>
        <v>61</v>
      </c>
      <c r="B57">
        <v>73147422</v>
      </c>
      <c r="C57">
        <v>73147553</v>
      </c>
      <c r="D57">
        <v>55597967</v>
      </c>
      <c r="E57">
        <v>58</v>
      </c>
      <c r="F57">
        <v>1</v>
      </c>
      <c r="G57">
        <v>1</v>
      </c>
      <c r="H57">
        <v>1</v>
      </c>
      <c r="I57" t="s">
        <v>250</v>
      </c>
      <c r="J57" t="s">
        <v>3</v>
      </c>
      <c r="K57" t="s">
        <v>243</v>
      </c>
      <c r="L57">
        <v>1191</v>
      </c>
      <c r="N57">
        <v>1013</v>
      </c>
      <c r="O57" t="s">
        <v>239</v>
      </c>
      <c r="P57" t="s">
        <v>239</v>
      </c>
      <c r="Q57">
        <v>1</v>
      </c>
      <c r="W57">
        <v>0</v>
      </c>
      <c r="X57">
        <v>-1173606021</v>
      </c>
      <c r="Y57">
        <v>0.65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1</v>
      </c>
      <c r="AJ57">
        <v>1</v>
      </c>
      <c r="AK57">
        <v>24.24</v>
      </c>
      <c r="AL57">
        <v>1</v>
      </c>
      <c r="AN57">
        <v>0</v>
      </c>
      <c r="AO57">
        <v>1</v>
      </c>
      <c r="AP57">
        <v>0</v>
      </c>
      <c r="AQ57">
        <v>0</v>
      </c>
      <c r="AR57">
        <v>0</v>
      </c>
      <c r="AS57" t="s">
        <v>3</v>
      </c>
      <c r="AT57">
        <v>0.65</v>
      </c>
      <c r="AU57" t="s">
        <v>3</v>
      </c>
      <c r="AV57">
        <v>2</v>
      </c>
      <c r="AW57">
        <v>2</v>
      </c>
      <c r="AX57">
        <v>73147558</v>
      </c>
      <c r="AY57">
        <v>1</v>
      </c>
      <c r="AZ57">
        <v>0</v>
      </c>
      <c r="BA57">
        <v>57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Y57*Source!I61</f>
        <v>0</v>
      </c>
      <c r="CY57">
        <f>AD57</f>
        <v>0</v>
      </c>
      <c r="CZ57">
        <f>AH57</f>
        <v>0</v>
      </c>
      <c r="DA57">
        <f>AL57</f>
        <v>1</v>
      </c>
      <c r="DB57">
        <f t="shared" si="8"/>
        <v>0</v>
      </c>
      <c r="DC57">
        <f t="shared" si="9"/>
        <v>0</v>
      </c>
    </row>
    <row r="58" spans="1:107">
      <c r="A58">
        <f>ROW(Source!A61)</f>
        <v>61</v>
      </c>
      <c r="B58">
        <v>73147422</v>
      </c>
      <c r="C58">
        <v>73147553</v>
      </c>
      <c r="D58">
        <v>55758922</v>
      </c>
      <c r="E58">
        <v>1</v>
      </c>
      <c r="F58">
        <v>1</v>
      </c>
      <c r="G58">
        <v>1</v>
      </c>
      <c r="H58">
        <v>2</v>
      </c>
      <c r="I58" t="s">
        <v>244</v>
      </c>
      <c r="J58" t="s">
        <v>245</v>
      </c>
      <c r="K58" t="s">
        <v>246</v>
      </c>
      <c r="L58">
        <v>1368</v>
      </c>
      <c r="N58">
        <v>1011</v>
      </c>
      <c r="O58" t="s">
        <v>247</v>
      </c>
      <c r="P58" t="s">
        <v>247</v>
      </c>
      <c r="Q58">
        <v>1</v>
      </c>
      <c r="W58">
        <v>0</v>
      </c>
      <c r="X58">
        <v>-167640300</v>
      </c>
      <c r="Y58">
        <v>0.65</v>
      </c>
      <c r="AA58">
        <v>0</v>
      </c>
      <c r="AB58">
        <v>1903.62</v>
      </c>
      <c r="AC58">
        <v>281.18</v>
      </c>
      <c r="AD58">
        <v>0</v>
      </c>
      <c r="AE58">
        <v>0</v>
      </c>
      <c r="AF58">
        <v>199.96</v>
      </c>
      <c r="AG58">
        <v>11.6</v>
      </c>
      <c r="AH58">
        <v>0</v>
      </c>
      <c r="AI58">
        <v>1</v>
      </c>
      <c r="AJ58">
        <v>9.52</v>
      </c>
      <c r="AK58">
        <v>24.24</v>
      </c>
      <c r="AL58">
        <v>1</v>
      </c>
      <c r="AN58">
        <v>0</v>
      </c>
      <c r="AO58">
        <v>1</v>
      </c>
      <c r="AP58">
        <v>0</v>
      </c>
      <c r="AQ58">
        <v>0</v>
      </c>
      <c r="AR58">
        <v>0</v>
      </c>
      <c r="AS58" t="s">
        <v>3</v>
      </c>
      <c r="AT58">
        <v>0.65</v>
      </c>
      <c r="AU58" t="s">
        <v>3</v>
      </c>
      <c r="AV58">
        <v>0</v>
      </c>
      <c r="AW58">
        <v>2</v>
      </c>
      <c r="AX58">
        <v>73147559</v>
      </c>
      <c r="AY58">
        <v>1</v>
      </c>
      <c r="AZ58">
        <v>0</v>
      </c>
      <c r="BA58">
        <v>58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Y58*Source!I61</f>
        <v>0</v>
      </c>
      <c r="CY58">
        <f>AB58</f>
        <v>1903.62</v>
      </c>
      <c r="CZ58">
        <f>AF58</f>
        <v>199.96</v>
      </c>
      <c r="DA58">
        <f>AJ58</f>
        <v>9.52</v>
      </c>
      <c r="DB58">
        <f t="shared" si="8"/>
        <v>129.97</v>
      </c>
      <c r="DC58">
        <f t="shared" si="9"/>
        <v>7.54</v>
      </c>
    </row>
    <row r="59" spans="1:107">
      <c r="A59">
        <f>ROW(Source!A62)</f>
        <v>62</v>
      </c>
      <c r="B59">
        <v>73147424</v>
      </c>
      <c r="C59">
        <v>73147560</v>
      </c>
      <c r="D59">
        <v>55597748</v>
      </c>
      <c r="E59">
        <v>58</v>
      </c>
      <c r="F59">
        <v>1</v>
      </c>
      <c r="G59">
        <v>1</v>
      </c>
      <c r="H59">
        <v>1</v>
      </c>
      <c r="I59" t="s">
        <v>253</v>
      </c>
      <c r="J59" t="s">
        <v>3</v>
      </c>
      <c r="K59" t="s">
        <v>254</v>
      </c>
      <c r="L59">
        <v>1191</v>
      </c>
      <c r="N59">
        <v>1013</v>
      </c>
      <c r="O59" t="s">
        <v>239</v>
      </c>
      <c r="P59" t="s">
        <v>239</v>
      </c>
      <c r="Q59">
        <v>1</v>
      </c>
      <c r="W59">
        <v>0</v>
      </c>
      <c r="X59">
        <v>199832030</v>
      </c>
      <c r="Y59">
        <v>3.7</v>
      </c>
      <c r="AA59">
        <v>0</v>
      </c>
      <c r="AB59">
        <v>0</v>
      </c>
      <c r="AC59">
        <v>0</v>
      </c>
      <c r="AD59">
        <v>7.74</v>
      </c>
      <c r="AE59">
        <v>0</v>
      </c>
      <c r="AF59">
        <v>0</v>
      </c>
      <c r="AG59">
        <v>0</v>
      </c>
      <c r="AH59">
        <v>7.74</v>
      </c>
      <c r="AI59">
        <v>1</v>
      </c>
      <c r="AJ59">
        <v>1</v>
      </c>
      <c r="AK59">
        <v>1</v>
      </c>
      <c r="AL59">
        <v>1</v>
      </c>
      <c r="AN59">
        <v>0</v>
      </c>
      <c r="AO59">
        <v>1</v>
      </c>
      <c r="AP59">
        <v>0</v>
      </c>
      <c r="AQ59">
        <v>0</v>
      </c>
      <c r="AR59">
        <v>0</v>
      </c>
      <c r="AS59" t="s">
        <v>3</v>
      </c>
      <c r="AT59">
        <v>3.7</v>
      </c>
      <c r="AU59" t="s">
        <v>3</v>
      </c>
      <c r="AV59">
        <v>1</v>
      </c>
      <c r="AW59">
        <v>2</v>
      </c>
      <c r="AX59">
        <v>73147564</v>
      </c>
      <c r="AY59">
        <v>1</v>
      </c>
      <c r="AZ59">
        <v>0</v>
      </c>
      <c r="BA59">
        <v>59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Y59*Source!I62</f>
        <v>0</v>
      </c>
      <c r="CY59">
        <f>AD59</f>
        <v>7.74</v>
      </c>
      <c r="CZ59">
        <f>AH59</f>
        <v>7.74</v>
      </c>
      <c r="DA59">
        <f>AL59</f>
        <v>1</v>
      </c>
      <c r="DB59">
        <f t="shared" si="8"/>
        <v>28.64</v>
      </c>
      <c r="DC59">
        <f t="shared" si="9"/>
        <v>0</v>
      </c>
    </row>
    <row r="60" spans="1:107">
      <c r="A60">
        <f>ROW(Source!A62)</f>
        <v>62</v>
      </c>
      <c r="B60">
        <v>73147424</v>
      </c>
      <c r="C60">
        <v>73147560</v>
      </c>
      <c r="D60">
        <v>55597967</v>
      </c>
      <c r="E60">
        <v>58</v>
      </c>
      <c r="F60">
        <v>1</v>
      </c>
      <c r="G60">
        <v>1</v>
      </c>
      <c r="H60">
        <v>1</v>
      </c>
      <c r="I60" t="s">
        <v>250</v>
      </c>
      <c r="J60" t="s">
        <v>3</v>
      </c>
      <c r="K60" t="s">
        <v>243</v>
      </c>
      <c r="L60">
        <v>1191</v>
      </c>
      <c r="N60">
        <v>1013</v>
      </c>
      <c r="O60" t="s">
        <v>239</v>
      </c>
      <c r="P60" t="s">
        <v>239</v>
      </c>
      <c r="Q60">
        <v>1</v>
      </c>
      <c r="W60">
        <v>0</v>
      </c>
      <c r="X60">
        <v>-1173606021</v>
      </c>
      <c r="Y60">
        <v>0.03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1</v>
      </c>
      <c r="AJ60">
        <v>1</v>
      </c>
      <c r="AK60">
        <v>1</v>
      </c>
      <c r="AL60">
        <v>1</v>
      </c>
      <c r="AN60">
        <v>0</v>
      </c>
      <c r="AO60">
        <v>1</v>
      </c>
      <c r="AP60">
        <v>0</v>
      </c>
      <c r="AQ60">
        <v>0</v>
      </c>
      <c r="AR60">
        <v>0</v>
      </c>
      <c r="AS60" t="s">
        <v>3</v>
      </c>
      <c r="AT60">
        <v>0.03</v>
      </c>
      <c r="AU60" t="s">
        <v>3</v>
      </c>
      <c r="AV60">
        <v>2</v>
      </c>
      <c r="AW60">
        <v>2</v>
      </c>
      <c r="AX60">
        <v>73147565</v>
      </c>
      <c r="AY60">
        <v>1</v>
      </c>
      <c r="AZ60">
        <v>0</v>
      </c>
      <c r="BA60">
        <v>60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Y60*Source!I62</f>
        <v>0</v>
      </c>
      <c r="CY60">
        <f>AD60</f>
        <v>0</v>
      </c>
      <c r="CZ60">
        <f>AH60</f>
        <v>0</v>
      </c>
      <c r="DA60">
        <f>AL60</f>
        <v>1</v>
      </c>
      <c r="DB60">
        <f t="shared" si="8"/>
        <v>0</v>
      </c>
      <c r="DC60">
        <f t="shared" si="9"/>
        <v>0</v>
      </c>
    </row>
    <row r="61" spans="1:107">
      <c r="A61">
        <f>ROW(Source!A62)</f>
        <v>62</v>
      </c>
      <c r="B61">
        <v>73147424</v>
      </c>
      <c r="C61">
        <v>73147560</v>
      </c>
      <c r="D61">
        <v>55759668</v>
      </c>
      <c r="E61">
        <v>1</v>
      </c>
      <c r="F61">
        <v>1</v>
      </c>
      <c r="G61">
        <v>1</v>
      </c>
      <c r="H61">
        <v>2</v>
      </c>
      <c r="I61" t="s">
        <v>255</v>
      </c>
      <c r="J61" t="s">
        <v>256</v>
      </c>
      <c r="K61" t="s">
        <v>257</v>
      </c>
      <c r="L61">
        <v>1368</v>
      </c>
      <c r="N61">
        <v>1011</v>
      </c>
      <c r="O61" t="s">
        <v>247</v>
      </c>
      <c r="P61" t="s">
        <v>247</v>
      </c>
      <c r="Q61">
        <v>1</v>
      </c>
      <c r="W61">
        <v>0</v>
      </c>
      <c r="X61">
        <v>1862470278</v>
      </c>
      <c r="Y61">
        <v>0.03</v>
      </c>
      <c r="AA61">
        <v>0</v>
      </c>
      <c r="AB61">
        <v>65.709999999999994</v>
      </c>
      <c r="AC61">
        <v>11.6</v>
      </c>
      <c r="AD61">
        <v>0</v>
      </c>
      <c r="AE61">
        <v>0</v>
      </c>
      <c r="AF61">
        <v>65.709999999999994</v>
      </c>
      <c r="AG61">
        <v>11.6</v>
      </c>
      <c r="AH61">
        <v>0</v>
      </c>
      <c r="AI61">
        <v>1</v>
      </c>
      <c r="AJ61">
        <v>1</v>
      </c>
      <c r="AK61">
        <v>1</v>
      </c>
      <c r="AL61">
        <v>1</v>
      </c>
      <c r="AN61">
        <v>0</v>
      </c>
      <c r="AO61">
        <v>1</v>
      </c>
      <c r="AP61">
        <v>0</v>
      </c>
      <c r="AQ61">
        <v>0</v>
      </c>
      <c r="AR61">
        <v>0</v>
      </c>
      <c r="AS61" t="s">
        <v>3</v>
      </c>
      <c r="AT61">
        <v>0.03</v>
      </c>
      <c r="AU61" t="s">
        <v>3</v>
      </c>
      <c r="AV61">
        <v>0</v>
      </c>
      <c r="AW61">
        <v>2</v>
      </c>
      <c r="AX61">
        <v>73147566</v>
      </c>
      <c r="AY61">
        <v>1</v>
      </c>
      <c r="AZ61">
        <v>0</v>
      </c>
      <c r="BA61">
        <v>61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Y61*Source!I62</f>
        <v>0</v>
      </c>
      <c r="CY61">
        <f>AB61</f>
        <v>65.709999999999994</v>
      </c>
      <c r="CZ61">
        <f>AF61</f>
        <v>65.709999999999994</v>
      </c>
      <c r="DA61">
        <f>AJ61</f>
        <v>1</v>
      </c>
      <c r="DB61">
        <f t="shared" si="8"/>
        <v>1.97</v>
      </c>
      <c r="DC61">
        <f t="shared" si="9"/>
        <v>0.35</v>
      </c>
    </row>
    <row r="62" spans="1:107">
      <c r="A62">
        <f>ROW(Source!A63)</f>
        <v>63</v>
      </c>
      <c r="B62">
        <v>73147422</v>
      </c>
      <c r="C62">
        <v>73147560</v>
      </c>
      <c r="D62">
        <v>55597748</v>
      </c>
      <c r="E62">
        <v>58</v>
      </c>
      <c r="F62">
        <v>1</v>
      </c>
      <c r="G62">
        <v>1</v>
      </c>
      <c r="H62">
        <v>1</v>
      </c>
      <c r="I62" t="s">
        <v>253</v>
      </c>
      <c r="J62" t="s">
        <v>3</v>
      </c>
      <c r="K62" t="s">
        <v>254</v>
      </c>
      <c r="L62">
        <v>1191</v>
      </c>
      <c r="N62">
        <v>1013</v>
      </c>
      <c r="O62" t="s">
        <v>239</v>
      </c>
      <c r="P62" t="s">
        <v>239</v>
      </c>
      <c r="Q62">
        <v>1</v>
      </c>
      <c r="W62">
        <v>0</v>
      </c>
      <c r="X62">
        <v>199832030</v>
      </c>
      <c r="Y62">
        <v>3.7</v>
      </c>
      <c r="AA62">
        <v>0</v>
      </c>
      <c r="AB62">
        <v>0</v>
      </c>
      <c r="AC62">
        <v>0</v>
      </c>
      <c r="AD62">
        <v>187.62</v>
      </c>
      <c r="AE62">
        <v>0</v>
      </c>
      <c r="AF62">
        <v>0</v>
      </c>
      <c r="AG62">
        <v>0</v>
      </c>
      <c r="AH62">
        <v>7.74</v>
      </c>
      <c r="AI62">
        <v>1</v>
      </c>
      <c r="AJ62">
        <v>1</v>
      </c>
      <c r="AK62">
        <v>1</v>
      </c>
      <c r="AL62">
        <v>24.24</v>
      </c>
      <c r="AN62">
        <v>0</v>
      </c>
      <c r="AO62">
        <v>1</v>
      </c>
      <c r="AP62">
        <v>0</v>
      </c>
      <c r="AQ62">
        <v>0</v>
      </c>
      <c r="AR62">
        <v>0</v>
      </c>
      <c r="AS62" t="s">
        <v>3</v>
      </c>
      <c r="AT62">
        <v>3.7</v>
      </c>
      <c r="AU62" t="s">
        <v>3</v>
      </c>
      <c r="AV62">
        <v>1</v>
      </c>
      <c r="AW62">
        <v>2</v>
      </c>
      <c r="AX62">
        <v>73147564</v>
      </c>
      <c r="AY62">
        <v>1</v>
      </c>
      <c r="AZ62">
        <v>0</v>
      </c>
      <c r="BA62">
        <v>63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Y62*Source!I63</f>
        <v>0</v>
      </c>
      <c r="CY62">
        <f>AD62</f>
        <v>187.62</v>
      </c>
      <c r="CZ62">
        <f>AH62</f>
        <v>7.74</v>
      </c>
      <c r="DA62">
        <f>AL62</f>
        <v>24.24</v>
      </c>
      <c r="DB62">
        <f t="shared" si="8"/>
        <v>28.64</v>
      </c>
      <c r="DC62">
        <f t="shared" si="9"/>
        <v>0</v>
      </c>
    </row>
    <row r="63" spans="1:107">
      <c r="A63">
        <f>ROW(Source!A63)</f>
        <v>63</v>
      </c>
      <c r="B63">
        <v>73147422</v>
      </c>
      <c r="C63">
        <v>73147560</v>
      </c>
      <c r="D63">
        <v>55597967</v>
      </c>
      <c r="E63">
        <v>58</v>
      </c>
      <c r="F63">
        <v>1</v>
      </c>
      <c r="G63">
        <v>1</v>
      </c>
      <c r="H63">
        <v>1</v>
      </c>
      <c r="I63" t="s">
        <v>250</v>
      </c>
      <c r="J63" t="s">
        <v>3</v>
      </c>
      <c r="K63" t="s">
        <v>243</v>
      </c>
      <c r="L63">
        <v>1191</v>
      </c>
      <c r="N63">
        <v>1013</v>
      </c>
      <c r="O63" t="s">
        <v>239</v>
      </c>
      <c r="P63" t="s">
        <v>239</v>
      </c>
      <c r="Q63">
        <v>1</v>
      </c>
      <c r="W63">
        <v>0</v>
      </c>
      <c r="X63">
        <v>-1173606021</v>
      </c>
      <c r="Y63">
        <v>0.03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1</v>
      </c>
      <c r="AJ63">
        <v>1</v>
      </c>
      <c r="AK63">
        <v>24.24</v>
      </c>
      <c r="AL63">
        <v>1</v>
      </c>
      <c r="AN63">
        <v>0</v>
      </c>
      <c r="AO63">
        <v>1</v>
      </c>
      <c r="AP63">
        <v>0</v>
      </c>
      <c r="AQ63">
        <v>0</v>
      </c>
      <c r="AR63">
        <v>0</v>
      </c>
      <c r="AS63" t="s">
        <v>3</v>
      </c>
      <c r="AT63">
        <v>0.03</v>
      </c>
      <c r="AU63" t="s">
        <v>3</v>
      </c>
      <c r="AV63">
        <v>2</v>
      </c>
      <c r="AW63">
        <v>2</v>
      </c>
      <c r="AX63">
        <v>73147565</v>
      </c>
      <c r="AY63">
        <v>1</v>
      </c>
      <c r="AZ63">
        <v>0</v>
      </c>
      <c r="BA63">
        <v>64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Y63*Source!I63</f>
        <v>0</v>
      </c>
      <c r="CY63">
        <f>AD63</f>
        <v>0</v>
      </c>
      <c r="CZ63">
        <f>AH63</f>
        <v>0</v>
      </c>
      <c r="DA63">
        <f>AL63</f>
        <v>1</v>
      </c>
      <c r="DB63">
        <f t="shared" si="8"/>
        <v>0</v>
      </c>
      <c r="DC63">
        <f t="shared" si="9"/>
        <v>0</v>
      </c>
    </row>
    <row r="64" spans="1:107">
      <c r="A64">
        <f>ROW(Source!A63)</f>
        <v>63</v>
      </c>
      <c r="B64">
        <v>73147422</v>
      </c>
      <c r="C64">
        <v>73147560</v>
      </c>
      <c r="D64">
        <v>55759668</v>
      </c>
      <c r="E64">
        <v>1</v>
      </c>
      <c r="F64">
        <v>1</v>
      </c>
      <c r="G64">
        <v>1</v>
      </c>
      <c r="H64">
        <v>2</v>
      </c>
      <c r="I64" t="s">
        <v>255</v>
      </c>
      <c r="J64" t="s">
        <v>256</v>
      </c>
      <c r="K64" t="s">
        <v>257</v>
      </c>
      <c r="L64">
        <v>1368</v>
      </c>
      <c r="N64">
        <v>1011</v>
      </c>
      <c r="O64" t="s">
        <v>247</v>
      </c>
      <c r="P64" t="s">
        <v>247</v>
      </c>
      <c r="Q64">
        <v>1</v>
      </c>
      <c r="W64">
        <v>0</v>
      </c>
      <c r="X64">
        <v>1862470278</v>
      </c>
      <c r="Y64">
        <v>0.03</v>
      </c>
      <c r="AA64">
        <v>0</v>
      </c>
      <c r="AB64">
        <v>625.55999999999995</v>
      </c>
      <c r="AC64">
        <v>281.18</v>
      </c>
      <c r="AD64">
        <v>0</v>
      </c>
      <c r="AE64">
        <v>0</v>
      </c>
      <c r="AF64">
        <v>65.709999999999994</v>
      </c>
      <c r="AG64">
        <v>11.6</v>
      </c>
      <c r="AH64">
        <v>0</v>
      </c>
      <c r="AI64">
        <v>1</v>
      </c>
      <c r="AJ64">
        <v>9.52</v>
      </c>
      <c r="AK64">
        <v>24.24</v>
      </c>
      <c r="AL64">
        <v>1</v>
      </c>
      <c r="AN64">
        <v>0</v>
      </c>
      <c r="AO64">
        <v>1</v>
      </c>
      <c r="AP64">
        <v>0</v>
      </c>
      <c r="AQ64">
        <v>0</v>
      </c>
      <c r="AR64">
        <v>0</v>
      </c>
      <c r="AS64" t="s">
        <v>3</v>
      </c>
      <c r="AT64">
        <v>0.03</v>
      </c>
      <c r="AU64" t="s">
        <v>3</v>
      </c>
      <c r="AV64">
        <v>0</v>
      </c>
      <c r="AW64">
        <v>2</v>
      </c>
      <c r="AX64">
        <v>73147566</v>
      </c>
      <c r="AY64">
        <v>1</v>
      </c>
      <c r="AZ64">
        <v>0</v>
      </c>
      <c r="BA64">
        <v>65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Y64*Source!I63</f>
        <v>0</v>
      </c>
      <c r="CY64">
        <f>AB64</f>
        <v>625.55999999999995</v>
      </c>
      <c r="CZ64">
        <f>AF64</f>
        <v>65.709999999999994</v>
      </c>
      <c r="DA64">
        <f>AJ64</f>
        <v>9.52</v>
      </c>
      <c r="DB64">
        <f t="shared" si="8"/>
        <v>1.97</v>
      </c>
      <c r="DC64">
        <f t="shared" si="9"/>
        <v>0.35</v>
      </c>
    </row>
    <row r="65" spans="1:107">
      <c r="A65">
        <f>ROW(Source!A64)</f>
        <v>64</v>
      </c>
      <c r="B65">
        <v>73147424</v>
      </c>
      <c r="C65">
        <v>73147568</v>
      </c>
      <c r="D65">
        <v>55597784</v>
      </c>
      <c r="E65">
        <v>58</v>
      </c>
      <c r="F65">
        <v>1</v>
      </c>
      <c r="G65">
        <v>1</v>
      </c>
      <c r="H65">
        <v>1</v>
      </c>
      <c r="I65" t="s">
        <v>258</v>
      </c>
      <c r="J65" t="s">
        <v>3</v>
      </c>
      <c r="K65" t="s">
        <v>259</v>
      </c>
      <c r="L65">
        <v>1191</v>
      </c>
      <c r="N65">
        <v>1013</v>
      </c>
      <c r="O65" t="s">
        <v>239</v>
      </c>
      <c r="P65" t="s">
        <v>239</v>
      </c>
      <c r="Q65">
        <v>1</v>
      </c>
      <c r="W65">
        <v>0</v>
      </c>
      <c r="X65">
        <v>-608433632</v>
      </c>
      <c r="Y65">
        <v>0.53</v>
      </c>
      <c r="AA65">
        <v>0</v>
      </c>
      <c r="AB65">
        <v>0</v>
      </c>
      <c r="AC65">
        <v>0</v>
      </c>
      <c r="AD65">
        <v>8.4600000000000009</v>
      </c>
      <c r="AE65">
        <v>0</v>
      </c>
      <c r="AF65">
        <v>0</v>
      </c>
      <c r="AG65">
        <v>0</v>
      </c>
      <c r="AH65">
        <v>8.4600000000000009</v>
      </c>
      <c r="AI65">
        <v>1</v>
      </c>
      <c r="AJ65">
        <v>1</v>
      </c>
      <c r="AK65">
        <v>1</v>
      </c>
      <c r="AL65">
        <v>1</v>
      </c>
      <c r="AN65">
        <v>0</v>
      </c>
      <c r="AO65">
        <v>1</v>
      </c>
      <c r="AP65">
        <v>0</v>
      </c>
      <c r="AQ65">
        <v>0</v>
      </c>
      <c r="AR65">
        <v>0</v>
      </c>
      <c r="AS65" t="s">
        <v>3</v>
      </c>
      <c r="AT65">
        <v>0.53</v>
      </c>
      <c r="AU65" t="s">
        <v>3</v>
      </c>
      <c r="AV65">
        <v>1</v>
      </c>
      <c r="AW65">
        <v>2</v>
      </c>
      <c r="AX65">
        <v>73147570</v>
      </c>
      <c r="AY65">
        <v>1</v>
      </c>
      <c r="AZ65">
        <v>0</v>
      </c>
      <c r="BA65">
        <v>67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Y65*Source!I64</f>
        <v>0</v>
      </c>
      <c r="CY65">
        <f>AD65</f>
        <v>8.4600000000000009</v>
      </c>
      <c r="CZ65">
        <f>AH65</f>
        <v>8.4600000000000009</v>
      </c>
      <c r="DA65">
        <f>AL65</f>
        <v>1</v>
      </c>
      <c r="DB65">
        <f t="shared" si="8"/>
        <v>4.4800000000000004</v>
      </c>
      <c r="DC65">
        <f t="shared" si="9"/>
        <v>0</v>
      </c>
    </row>
    <row r="66" spans="1:107">
      <c r="A66">
        <f>ROW(Source!A65)</f>
        <v>65</v>
      </c>
      <c r="B66">
        <v>73147422</v>
      </c>
      <c r="C66">
        <v>73147568</v>
      </c>
      <c r="D66">
        <v>55597784</v>
      </c>
      <c r="E66">
        <v>58</v>
      </c>
      <c r="F66">
        <v>1</v>
      </c>
      <c r="G66">
        <v>1</v>
      </c>
      <c r="H66">
        <v>1</v>
      </c>
      <c r="I66" t="s">
        <v>258</v>
      </c>
      <c r="J66" t="s">
        <v>3</v>
      </c>
      <c r="K66" t="s">
        <v>259</v>
      </c>
      <c r="L66">
        <v>1191</v>
      </c>
      <c r="N66">
        <v>1013</v>
      </c>
      <c r="O66" t="s">
        <v>239</v>
      </c>
      <c r="P66" t="s">
        <v>239</v>
      </c>
      <c r="Q66">
        <v>1</v>
      </c>
      <c r="W66">
        <v>0</v>
      </c>
      <c r="X66">
        <v>-608433632</v>
      </c>
      <c r="Y66">
        <v>0.53</v>
      </c>
      <c r="AA66">
        <v>0</v>
      </c>
      <c r="AB66">
        <v>0</v>
      </c>
      <c r="AC66">
        <v>0</v>
      </c>
      <c r="AD66">
        <v>205.07</v>
      </c>
      <c r="AE66">
        <v>0</v>
      </c>
      <c r="AF66">
        <v>0</v>
      </c>
      <c r="AG66">
        <v>0</v>
      </c>
      <c r="AH66">
        <v>8.4600000000000009</v>
      </c>
      <c r="AI66">
        <v>1</v>
      </c>
      <c r="AJ66">
        <v>1</v>
      </c>
      <c r="AK66">
        <v>1</v>
      </c>
      <c r="AL66">
        <v>24.24</v>
      </c>
      <c r="AN66">
        <v>0</v>
      </c>
      <c r="AO66">
        <v>1</v>
      </c>
      <c r="AP66">
        <v>0</v>
      </c>
      <c r="AQ66">
        <v>0</v>
      </c>
      <c r="AR66">
        <v>0</v>
      </c>
      <c r="AS66" t="s">
        <v>3</v>
      </c>
      <c r="AT66">
        <v>0.53</v>
      </c>
      <c r="AU66" t="s">
        <v>3</v>
      </c>
      <c r="AV66">
        <v>1</v>
      </c>
      <c r="AW66">
        <v>2</v>
      </c>
      <c r="AX66">
        <v>73147570</v>
      </c>
      <c r="AY66">
        <v>1</v>
      </c>
      <c r="AZ66">
        <v>0</v>
      </c>
      <c r="BA66">
        <v>68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Y66*Source!I65</f>
        <v>0</v>
      </c>
      <c r="CY66">
        <f>AD66</f>
        <v>205.07</v>
      </c>
      <c r="CZ66">
        <f>AH66</f>
        <v>8.4600000000000009</v>
      </c>
      <c r="DA66">
        <f>AL66</f>
        <v>24.24</v>
      </c>
      <c r="DB66">
        <f t="shared" si="8"/>
        <v>4.4800000000000004</v>
      </c>
      <c r="DC66">
        <f t="shared" si="9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R68"/>
  <sheetViews>
    <sheetView workbookViewId="0"/>
  </sheetViews>
  <sheetFormatPr defaultColWidth="9.140625" defaultRowHeight="12.75"/>
  <cols>
    <col min="1" max="256" width="9.140625" customWidth="1"/>
  </cols>
  <sheetData>
    <row r="1" spans="1:44">
      <c r="A1">
        <f>ROW(Source!A24)</f>
        <v>24</v>
      </c>
      <c r="B1">
        <v>73147487</v>
      </c>
      <c r="C1">
        <v>73147485</v>
      </c>
      <c r="D1">
        <v>55597804</v>
      </c>
      <c r="E1">
        <v>58</v>
      </c>
      <c r="F1">
        <v>1</v>
      </c>
      <c r="G1">
        <v>1</v>
      </c>
      <c r="H1">
        <v>1</v>
      </c>
      <c r="I1" t="s">
        <v>237</v>
      </c>
      <c r="J1" t="s">
        <v>3</v>
      </c>
      <c r="K1" t="s">
        <v>238</v>
      </c>
      <c r="L1">
        <v>1191</v>
      </c>
      <c r="N1">
        <v>1013</v>
      </c>
      <c r="O1" t="s">
        <v>239</v>
      </c>
      <c r="P1" t="s">
        <v>239</v>
      </c>
      <c r="Q1">
        <v>1</v>
      </c>
      <c r="X1">
        <v>2.88</v>
      </c>
      <c r="Y1">
        <v>0</v>
      </c>
      <c r="Z1">
        <v>0</v>
      </c>
      <c r="AA1">
        <v>0</v>
      </c>
      <c r="AB1">
        <v>9.07</v>
      </c>
      <c r="AC1">
        <v>0</v>
      </c>
      <c r="AD1">
        <v>1</v>
      </c>
      <c r="AE1">
        <v>1</v>
      </c>
      <c r="AF1" t="s">
        <v>3</v>
      </c>
      <c r="AG1">
        <v>2.88</v>
      </c>
      <c r="AH1">
        <v>2</v>
      </c>
      <c r="AI1">
        <v>73147486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ROW(Source!A25)</f>
        <v>25</v>
      </c>
      <c r="B2">
        <v>73147487</v>
      </c>
      <c r="C2">
        <v>73147485</v>
      </c>
      <c r="D2">
        <v>55597804</v>
      </c>
      <c r="E2">
        <v>58</v>
      </c>
      <c r="F2">
        <v>1</v>
      </c>
      <c r="G2">
        <v>1</v>
      </c>
      <c r="H2">
        <v>1</v>
      </c>
      <c r="I2" t="s">
        <v>237</v>
      </c>
      <c r="J2" t="s">
        <v>3</v>
      </c>
      <c r="K2" t="s">
        <v>238</v>
      </c>
      <c r="L2">
        <v>1191</v>
      </c>
      <c r="N2">
        <v>1013</v>
      </c>
      <c r="O2" t="s">
        <v>239</v>
      </c>
      <c r="P2" t="s">
        <v>239</v>
      </c>
      <c r="Q2">
        <v>1</v>
      </c>
      <c r="X2">
        <v>2.88</v>
      </c>
      <c r="Y2">
        <v>0</v>
      </c>
      <c r="Z2">
        <v>0</v>
      </c>
      <c r="AA2">
        <v>0</v>
      </c>
      <c r="AB2">
        <v>9.07</v>
      </c>
      <c r="AC2">
        <v>0</v>
      </c>
      <c r="AD2">
        <v>1</v>
      </c>
      <c r="AE2">
        <v>1</v>
      </c>
      <c r="AF2" t="s">
        <v>3</v>
      </c>
      <c r="AG2">
        <v>2.88</v>
      </c>
      <c r="AH2">
        <v>2</v>
      </c>
      <c r="AI2">
        <v>73147486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ROW(Source!A26)</f>
        <v>26</v>
      </c>
      <c r="B3">
        <v>73147490</v>
      </c>
      <c r="C3">
        <v>73147488</v>
      </c>
      <c r="D3">
        <v>55597804</v>
      </c>
      <c r="E3">
        <v>58</v>
      </c>
      <c r="F3">
        <v>1</v>
      </c>
      <c r="G3">
        <v>1</v>
      </c>
      <c r="H3">
        <v>1</v>
      </c>
      <c r="I3" t="s">
        <v>237</v>
      </c>
      <c r="J3" t="s">
        <v>3</v>
      </c>
      <c r="K3" t="s">
        <v>238</v>
      </c>
      <c r="L3">
        <v>1191</v>
      </c>
      <c r="N3">
        <v>1013</v>
      </c>
      <c r="O3" t="s">
        <v>239</v>
      </c>
      <c r="P3" t="s">
        <v>239</v>
      </c>
      <c r="Q3">
        <v>1</v>
      </c>
      <c r="X3">
        <v>2.4700000000000002</v>
      </c>
      <c r="Y3">
        <v>0</v>
      </c>
      <c r="Z3">
        <v>0</v>
      </c>
      <c r="AA3">
        <v>0</v>
      </c>
      <c r="AB3">
        <v>9.07</v>
      </c>
      <c r="AC3">
        <v>0</v>
      </c>
      <c r="AD3">
        <v>1</v>
      </c>
      <c r="AE3">
        <v>1</v>
      </c>
      <c r="AF3" t="s">
        <v>3</v>
      </c>
      <c r="AG3">
        <v>2.4700000000000002</v>
      </c>
      <c r="AH3">
        <v>2</v>
      </c>
      <c r="AI3">
        <v>73147489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ROW(Source!A27)</f>
        <v>27</v>
      </c>
      <c r="B4">
        <v>73147490</v>
      </c>
      <c r="C4">
        <v>73147488</v>
      </c>
      <c r="D4">
        <v>55597804</v>
      </c>
      <c r="E4">
        <v>58</v>
      </c>
      <c r="F4">
        <v>1</v>
      </c>
      <c r="G4">
        <v>1</v>
      </c>
      <c r="H4">
        <v>1</v>
      </c>
      <c r="I4" t="s">
        <v>237</v>
      </c>
      <c r="J4" t="s">
        <v>3</v>
      </c>
      <c r="K4" t="s">
        <v>238</v>
      </c>
      <c r="L4">
        <v>1191</v>
      </c>
      <c r="N4">
        <v>1013</v>
      </c>
      <c r="O4" t="s">
        <v>239</v>
      </c>
      <c r="P4" t="s">
        <v>239</v>
      </c>
      <c r="Q4">
        <v>1</v>
      </c>
      <c r="X4">
        <v>2.4700000000000002</v>
      </c>
      <c r="Y4">
        <v>0</v>
      </c>
      <c r="Z4">
        <v>0</v>
      </c>
      <c r="AA4">
        <v>0</v>
      </c>
      <c r="AB4">
        <v>9.07</v>
      </c>
      <c r="AC4">
        <v>0</v>
      </c>
      <c r="AD4">
        <v>1</v>
      </c>
      <c r="AE4">
        <v>1</v>
      </c>
      <c r="AF4" t="s">
        <v>3</v>
      </c>
      <c r="AG4">
        <v>2.4700000000000002</v>
      </c>
      <c r="AH4">
        <v>2</v>
      </c>
      <c r="AI4">
        <v>73147489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ROW(Source!A28)</f>
        <v>28</v>
      </c>
      <c r="B5">
        <v>73147500</v>
      </c>
      <c r="C5">
        <v>73147498</v>
      </c>
      <c r="D5">
        <v>55597804</v>
      </c>
      <c r="E5">
        <v>58</v>
      </c>
      <c r="F5">
        <v>1</v>
      </c>
      <c r="G5">
        <v>1</v>
      </c>
      <c r="H5">
        <v>1</v>
      </c>
      <c r="I5" t="s">
        <v>237</v>
      </c>
      <c r="J5" t="s">
        <v>3</v>
      </c>
      <c r="K5" t="s">
        <v>238</v>
      </c>
      <c r="L5">
        <v>1191</v>
      </c>
      <c r="N5">
        <v>1013</v>
      </c>
      <c r="O5" t="s">
        <v>239</v>
      </c>
      <c r="P5" t="s">
        <v>239</v>
      </c>
      <c r="Q5">
        <v>1</v>
      </c>
      <c r="X5">
        <v>2.16</v>
      </c>
      <c r="Y5">
        <v>0</v>
      </c>
      <c r="Z5">
        <v>0</v>
      </c>
      <c r="AA5">
        <v>0</v>
      </c>
      <c r="AB5">
        <v>9.07</v>
      </c>
      <c r="AC5">
        <v>0</v>
      </c>
      <c r="AD5">
        <v>1</v>
      </c>
      <c r="AE5">
        <v>1</v>
      </c>
      <c r="AF5" t="s">
        <v>3</v>
      </c>
      <c r="AG5">
        <v>2.16</v>
      </c>
      <c r="AH5">
        <v>2</v>
      </c>
      <c r="AI5">
        <v>73147499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ROW(Source!A29)</f>
        <v>29</v>
      </c>
      <c r="B6">
        <v>73147500</v>
      </c>
      <c r="C6">
        <v>73147498</v>
      </c>
      <c r="D6">
        <v>55597804</v>
      </c>
      <c r="E6">
        <v>58</v>
      </c>
      <c r="F6">
        <v>1</v>
      </c>
      <c r="G6">
        <v>1</v>
      </c>
      <c r="H6">
        <v>1</v>
      </c>
      <c r="I6" t="s">
        <v>237</v>
      </c>
      <c r="J6" t="s">
        <v>3</v>
      </c>
      <c r="K6" t="s">
        <v>238</v>
      </c>
      <c r="L6">
        <v>1191</v>
      </c>
      <c r="N6">
        <v>1013</v>
      </c>
      <c r="O6" t="s">
        <v>239</v>
      </c>
      <c r="P6" t="s">
        <v>239</v>
      </c>
      <c r="Q6">
        <v>1</v>
      </c>
      <c r="X6">
        <v>2.16</v>
      </c>
      <c r="Y6">
        <v>0</v>
      </c>
      <c r="Z6">
        <v>0</v>
      </c>
      <c r="AA6">
        <v>0</v>
      </c>
      <c r="AB6">
        <v>9.07</v>
      </c>
      <c r="AC6">
        <v>0</v>
      </c>
      <c r="AD6">
        <v>1</v>
      </c>
      <c r="AE6">
        <v>1</v>
      </c>
      <c r="AF6" t="s">
        <v>3</v>
      </c>
      <c r="AG6">
        <v>2.16</v>
      </c>
      <c r="AH6">
        <v>2</v>
      </c>
      <c r="AI6">
        <v>73147499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ROW(Source!A30)</f>
        <v>30</v>
      </c>
      <c r="B7">
        <v>73147503</v>
      </c>
      <c r="C7">
        <v>73147501</v>
      </c>
      <c r="D7">
        <v>55597804</v>
      </c>
      <c r="E7">
        <v>58</v>
      </c>
      <c r="F7">
        <v>1</v>
      </c>
      <c r="G7">
        <v>1</v>
      </c>
      <c r="H7">
        <v>1</v>
      </c>
      <c r="I7" t="s">
        <v>237</v>
      </c>
      <c r="J7" t="s">
        <v>3</v>
      </c>
      <c r="K7" t="s">
        <v>238</v>
      </c>
      <c r="L7">
        <v>1191</v>
      </c>
      <c r="N7">
        <v>1013</v>
      </c>
      <c r="O7" t="s">
        <v>239</v>
      </c>
      <c r="P7" t="s">
        <v>239</v>
      </c>
      <c r="Q7">
        <v>1</v>
      </c>
      <c r="X7">
        <v>1.96</v>
      </c>
      <c r="Y7">
        <v>0</v>
      </c>
      <c r="Z7">
        <v>0</v>
      </c>
      <c r="AA7">
        <v>0</v>
      </c>
      <c r="AB7">
        <v>9.07</v>
      </c>
      <c r="AC7">
        <v>0</v>
      </c>
      <c r="AD7">
        <v>1</v>
      </c>
      <c r="AE7">
        <v>1</v>
      </c>
      <c r="AF7" t="s">
        <v>3</v>
      </c>
      <c r="AG7">
        <v>1.96</v>
      </c>
      <c r="AH7">
        <v>2</v>
      </c>
      <c r="AI7">
        <v>73147502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ROW(Source!A31)</f>
        <v>31</v>
      </c>
      <c r="B8">
        <v>73147503</v>
      </c>
      <c r="C8">
        <v>73147501</v>
      </c>
      <c r="D8">
        <v>55597804</v>
      </c>
      <c r="E8">
        <v>58</v>
      </c>
      <c r="F8">
        <v>1</v>
      </c>
      <c r="G8">
        <v>1</v>
      </c>
      <c r="H8">
        <v>1</v>
      </c>
      <c r="I8" t="s">
        <v>237</v>
      </c>
      <c r="J8" t="s">
        <v>3</v>
      </c>
      <c r="K8" t="s">
        <v>238</v>
      </c>
      <c r="L8">
        <v>1191</v>
      </c>
      <c r="N8">
        <v>1013</v>
      </c>
      <c r="O8" t="s">
        <v>239</v>
      </c>
      <c r="P8" t="s">
        <v>239</v>
      </c>
      <c r="Q8">
        <v>1</v>
      </c>
      <c r="X8">
        <v>1.96</v>
      </c>
      <c r="Y8">
        <v>0</v>
      </c>
      <c r="Z8">
        <v>0</v>
      </c>
      <c r="AA8">
        <v>0</v>
      </c>
      <c r="AB8">
        <v>9.07</v>
      </c>
      <c r="AC8">
        <v>0</v>
      </c>
      <c r="AD8">
        <v>1</v>
      </c>
      <c r="AE8">
        <v>1</v>
      </c>
      <c r="AF8" t="s">
        <v>3</v>
      </c>
      <c r="AG8">
        <v>1.96</v>
      </c>
      <c r="AH8">
        <v>2</v>
      </c>
      <c r="AI8">
        <v>73147502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ROW(Source!A32)</f>
        <v>32</v>
      </c>
      <c r="B9">
        <v>73147509</v>
      </c>
      <c r="C9">
        <v>73147507</v>
      </c>
      <c r="D9">
        <v>55597788</v>
      </c>
      <c r="E9">
        <v>58</v>
      </c>
      <c r="F9">
        <v>1</v>
      </c>
      <c r="G9">
        <v>1</v>
      </c>
      <c r="H9">
        <v>1</v>
      </c>
      <c r="I9" t="s">
        <v>240</v>
      </c>
      <c r="J9" t="s">
        <v>3</v>
      </c>
      <c r="K9" t="s">
        <v>241</v>
      </c>
      <c r="L9">
        <v>1191</v>
      </c>
      <c r="N9">
        <v>1013</v>
      </c>
      <c r="O9" t="s">
        <v>239</v>
      </c>
      <c r="P9" t="s">
        <v>239</v>
      </c>
      <c r="Q9">
        <v>1</v>
      </c>
      <c r="X9">
        <v>4.43</v>
      </c>
      <c r="Y9">
        <v>0</v>
      </c>
      <c r="Z9">
        <v>0</v>
      </c>
      <c r="AA9">
        <v>0</v>
      </c>
      <c r="AB9">
        <v>8.5299999999999994</v>
      </c>
      <c r="AC9">
        <v>0</v>
      </c>
      <c r="AD9">
        <v>1</v>
      </c>
      <c r="AE9">
        <v>1</v>
      </c>
      <c r="AF9" t="s">
        <v>3</v>
      </c>
      <c r="AG9">
        <v>4.43</v>
      </c>
      <c r="AH9">
        <v>2</v>
      </c>
      <c r="AI9">
        <v>73147508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ROW(Source!A33)</f>
        <v>33</v>
      </c>
      <c r="B10">
        <v>73147509</v>
      </c>
      <c r="C10">
        <v>73147507</v>
      </c>
      <c r="D10">
        <v>55597788</v>
      </c>
      <c r="E10">
        <v>58</v>
      </c>
      <c r="F10">
        <v>1</v>
      </c>
      <c r="G10">
        <v>1</v>
      </c>
      <c r="H10">
        <v>1</v>
      </c>
      <c r="I10" t="s">
        <v>240</v>
      </c>
      <c r="J10" t="s">
        <v>3</v>
      </c>
      <c r="K10" t="s">
        <v>241</v>
      </c>
      <c r="L10">
        <v>1191</v>
      </c>
      <c r="N10">
        <v>1013</v>
      </c>
      <c r="O10" t="s">
        <v>239</v>
      </c>
      <c r="P10" t="s">
        <v>239</v>
      </c>
      <c r="Q10">
        <v>1</v>
      </c>
      <c r="X10">
        <v>4.43</v>
      </c>
      <c r="Y10">
        <v>0</v>
      </c>
      <c r="Z10">
        <v>0</v>
      </c>
      <c r="AA10">
        <v>0</v>
      </c>
      <c r="AB10">
        <v>8.5299999999999994</v>
      </c>
      <c r="AC10">
        <v>0</v>
      </c>
      <c r="AD10">
        <v>1</v>
      </c>
      <c r="AE10">
        <v>1</v>
      </c>
      <c r="AF10" t="s">
        <v>3</v>
      </c>
      <c r="AG10">
        <v>4.43</v>
      </c>
      <c r="AH10">
        <v>2</v>
      </c>
      <c r="AI10">
        <v>73147508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ROW(Source!A38)</f>
        <v>38</v>
      </c>
      <c r="B11">
        <v>73147495</v>
      </c>
      <c r="C11">
        <v>73147491</v>
      </c>
      <c r="D11">
        <v>44294396</v>
      </c>
      <c r="E11">
        <v>28876687</v>
      </c>
      <c r="F11">
        <v>1</v>
      </c>
      <c r="G11">
        <v>1</v>
      </c>
      <c r="H11">
        <v>1</v>
      </c>
      <c r="I11" t="s">
        <v>237</v>
      </c>
      <c r="J11" t="s">
        <v>3</v>
      </c>
      <c r="K11" t="s">
        <v>238</v>
      </c>
      <c r="L11">
        <v>1191</v>
      </c>
      <c r="N11">
        <v>1013</v>
      </c>
      <c r="O11" t="s">
        <v>239</v>
      </c>
      <c r="P11" t="s">
        <v>239</v>
      </c>
      <c r="Q11">
        <v>1</v>
      </c>
      <c r="X11">
        <v>3.04</v>
      </c>
      <c r="Y11">
        <v>0</v>
      </c>
      <c r="Z11">
        <v>0</v>
      </c>
      <c r="AA11">
        <v>0</v>
      </c>
      <c r="AB11">
        <v>9.07</v>
      </c>
      <c r="AC11">
        <v>0</v>
      </c>
      <c r="AD11">
        <v>1</v>
      </c>
      <c r="AE11">
        <v>1</v>
      </c>
      <c r="AF11" t="s">
        <v>3</v>
      </c>
      <c r="AG11">
        <v>3.04</v>
      </c>
      <c r="AH11">
        <v>2</v>
      </c>
      <c r="AI11">
        <v>73147492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ROW(Source!A38)</f>
        <v>38</v>
      </c>
      <c r="B12">
        <v>73147496</v>
      </c>
      <c r="C12">
        <v>73147491</v>
      </c>
      <c r="D12">
        <v>44294492</v>
      </c>
      <c r="E12">
        <v>28876687</v>
      </c>
      <c r="F12">
        <v>1</v>
      </c>
      <c r="G12">
        <v>1</v>
      </c>
      <c r="H12">
        <v>1</v>
      </c>
      <c r="I12" t="s">
        <v>242</v>
      </c>
      <c r="J12" t="s">
        <v>3</v>
      </c>
      <c r="K12" t="s">
        <v>243</v>
      </c>
      <c r="L12">
        <v>1191</v>
      </c>
      <c r="N12">
        <v>1013</v>
      </c>
      <c r="O12" t="s">
        <v>239</v>
      </c>
      <c r="P12" t="s">
        <v>239</v>
      </c>
      <c r="Q12">
        <v>1</v>
      </c>
      <c r="X12">
        <v>1.48</v>
      </c>
      <c r="Y12">
        <v>0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1</v>
      </c>
      <c r="AF12" t="s">
        <v>3</v>
      </c>
      <c r="AG12">
        <v>1.48</v>
      </c>
      <c r="AH12">
        <v>2</v>
      </c>
      <c r="AI12">
        <v>73147493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ROW(Source!A38)</f>
        <v>38</v>
      </c>
      <c r="B13">
        <v>73147497</v>
      </c>
      <c r="C13">
        <v>73147491</v>
      </c>
      <c r="D13">
        <v>44508999</v>
      </c>
      <c r="E13">
        <v>1</v>
      </c>
      <c r="F13">
        <v>1</v>
      </c>
      <c r="G13">
        <v>1</v>
      </c>
      <c r="H13">
        <v>2</v>
      </c>
      <c r="I13" t="s">
        <v>244</v>
      </c>
      <c r="J13" t="s">
        <v>245</v>
      </c>
      <c r="K13" t="s">
        <v>246</v>
      </c>
      <c r="L13">
        <v>1368</v>
      </c>
      <c r="N13">
        <v>1011</v>
      </c>
      <c r="O13" t="s">
        <v>247</v>
      </c>
      <c r="P13" t="s">
        <v>247</v>
      </c>
      <c r="Q13">
        <v>1</v>
      </c>
      <c r="X13">
        <v>1.48</v>
      </c>
      <c r="Y13">
        <v>0</v>
      </c>
      <c r="Z13">
        <v>199.96</v>
      </c>
      <c r="AA13">
        <v>11.6</v>
      </c>
      <c r="AB13">
        <v>0</v>
      </c>
      <c r="AC13">
        <v>0</v>
      </c>
      <c r="AD13">
        <v>1</v>
      </c>
      <c r="AE13">
        <v>0</v>
      </c>
      <c r="AF13" t="s">
        <v>3</v>
      </c>
      <c r="AG13">
        <v>1.48</v>
      </c>
      <c r="AH13">
        <v>2</v>
      </c>
      <c r="AI13">
        <v>73147494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ROW(Source!A39)</f>
        <v>39</v>
      </c>
      <c r="B14">
        <v>73147495</v>
      </c>
      <c r="C14">
        <v>73147491</v>
      </c>
      <c r="D14">
        <v>44294396</v>
      </c>
      <c r="E14">
        <v>28876687</v>
      </c>
      <c r="F14">
        <v>1</v>
      </c>
      <c r="G14">
        <v>1</v>
      </c>
      <c r="H14">
        <v>1</v>
      </c>
      <c r="I14" t="s">
        <v>237</v>
      </c>
      <c r="J14" t="s">
        <v>3</v>
      </c>
      <c r="K14" t="s">
        <v>238</v>
      </c>
      <c r="L14">
        <v>1191</v>
      </c>
      <c r="N14">
        <v>1013</v>
      </c>
      <c r="O14" t="s">
        <v>239</v>
      </c>
      <c r="P14" t="s">
        <v>239</v>
      </c>
      <c r="Q14">
        <v>1</v>
      </c>
      <c r="X14">
        <v>3.04</v>
      </c>
      <c r="Y14">
        <v>0</v>
      </c>
      <c r="Z14">
        <v>0</v>
      </c>
      <c r="AA14">
        <v>0</v>
      </c>
      <c r="AB14">
        <v>9.07</v>
      </c>
      <c r="AC14">
        <v>0</v>
      </c>
      <c r="AD14">
        <v>1</v>
      </c>
      <c r="AE14">
        <v>1</v>
      </c>
      <c r="AF14" t="s">
        <v>3</v>
      </c>
      <c r="AG14">
        <v>3.04</v>
      </c>
      <c r="AH14">
        <v>2</v>
      </c>
      <c r="AI14">
        <v>73147492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ROW(Source!A39)</f>
        <v>39</v>
      </c>
      <c r="B15">
        <v>73147496</v>
      </c>
      <c r="C15">
        <v>73147491</v>
      </c>
      <c r="D15">
        <v>44294492</v>
      </c>
      <c r="E15">
        <v>28876687</v>
      </c>
      <c r="F15">
        <v>1</v>
      </c>
      <c r="G15">
        <v>1</v>
      </c>
      <c r="H15">
        <v>1</v>
      </c>
      <c r="I15" t="s">
        <v>242</v>
      </c>
      <c r="J15" t="s">
        <v>3</v>
      </c>
      <c r="K15" t="s">
        <v>243</v>
      </c>
      <c r="L15">
        <v>1191</v>
      </c>
      <c r="N15">
        <v>1013</v>
      </c>
      <c r="O15" t="s">
        <v>239</v>
      </c>
      <c r="P15" t="s">
        <v>239</v>
      </c>
      <c r="Q15">
        <v>1</v>
      </c>
      <c r="X15">
        <v>1.48</v>
      </c>
      <c r="Y15">
        <v>0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1</v>
      </c>
      <c r="AF15" t="s">
        <v>3</v>
      </c>
      <c r="AG15">
        <v>1.48</v>
      </c>
      <c r="AH15">
        <v>2</v>
      </c>
      <c r="AI15">
        <v>73147493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ROW(Source!A39)</f>
        <v>39</v>
      </c>
      <c r="B16">
        <v>73147497</v>
      </c>
      <c r="C16">
        <v>73147491</v>
      </c>
      <c r="D16">
        <v>44508999</v>
      </c>
      <c r="E16">
        <v>1</v>
      </c>
      <c r="F16">
        <v>1</v>
      </c>
      <c r="G16">
        <v>1</v>
      </c>
      <c r="H16">
        <v>2</v>
      </c>
      <c r="I16" t="s">
        <v>244</v>
      </c>
      <c r="J16" t="s">
        <v>245</v>
      </c>
      <c r="K16" t="s">
        <v>246</v>
      </c>
      <c r="L16">
        <v>1368</v>
      </c>
      <c r="N16">
        <v>1011</v>
      </c>
      <c r="O16" t="s">
        <v>247</v>
      </c>
      <c r="P16" t="s">
        <v>247</v>
      </c>
      <c r="Q16">
        <v>1</v>
      </c>
      <c r="X16">
        <v>1.48</v>
      </c>
      <c r="Y16">
        <v>0</v>
      </c>
      <c r="Z16">
        <v>199.96</v>
      </c>
      <c r="AA16">
        <v>11.6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1.48</v>
      </c>
      <c r="AH16">
        <v>2</v>
      </c>
      <c r="AI16">
        <v>73147494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ROW(Source!A40)</f>
        <v>40</v>
      </c>
      <c r="B17">
        <v>73147506</v>
      </c>
      <c r="C17">
        <v>73147504</v>
      </c>
      <c r="D17">
        <v>55597730</v>
      </c>
      <c r="E17">
        <v>58</v>
      </c>
      <c r="F17">
        <v>1</v>
      </c>
      <c r="G17">
        <v>1</v>
      </c>
      <c r="H17">
        <v>1</v>
      </c>
      <c r="I17" t="s">
        <v>248</v>
      </c>
      <c r="J17" t="s">
        <v>3</v>
      </c>
      <c r="K17" t="s">
        <v>249</v>
      </c>
      <c r="L17">
        <v>1191</v>
      </c>
      <c r="N17">
        <v>1013</v>
      </c>
      <c r="O17" t="s">
        <v>239</v>
      </c>
      <c r="P17" t="s">
        <v>239</v>
      </c>
      <c r="Q17">
        <v>1</v>
      </c>
      <c r="X17">
        <v>0.8</v>
      </c>
      <c r="Y17">
        <v>0</v>
      </c>
      <c r="Z17">
        <v>0</v>
      </c>
      <c r="AA17">
        <v>0</v>
      </c>
      <c r="AB17">
        <v>7.56</v>
      </c>
      <c r="AC17">
        <v>0</v>
      </c>
      <c r="AD17">
        <v>1</v>
      </c>
      <c r="AE17">
        <v>1</v>
      </c>
      <c r="AF17" t="s">
        <v>3</v>
      </c>
      <c r="AG17">
        <v>0.8</v>
      </c>
      <c r="AH17">
        <v>2</v>
      </c>
      <c r="AI17">
        <v>73147505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ROW(Source!A41)</f>
        <v>41</v>
      </c>
      <c r="B18">
        <v>73147506</v>
      </c>
      <c r="C18">
        <v>73147504</v>
      </c>
      <c r="D18">
        <v>55597730</v>
      </c>
      <c r="E18">
        <v>58</v>
      </c>
      <c r="F18">
        <v>1</v>
      </c>
      <c r="G18">
        <v>1</v>
      </c>
      <c r="H18">
        <v>1</v>
      </c>
      <c r="I18" t="s">
        <v>248</v>
      </c>
      <c r="J18" t="s">
        <v>3</v>
      </c>
      <c r="K18" t="s">
        <v>249</v>
      </c>
      <c r="L18">
        <v>1191</v>
      </c>
      <c r="N18">
        <v>1013</v>
      </c>
      <c r="O18" t="s">
        <v>239</v>
      </c>
      <c r="P18" t="s">
        <v>239</v>
      </c>
      <c r="Q18">
        <v>1</v>
      </c>
      <c r="X18">
        <v>0.8</v>
      </c>
      <c r="Y18">
        <v>0</v>
      </c>
      <c r="Z18">
        <v>0</v>
      </c>
      <c r="AA18">
        <v>0</v>
      </c>
      <c r="AB18">
        <v>7.56</v>
      </c>
      <c r="AC18">
        <v>0</v>
      </c>
      <c r="AD18">
        <v>1</v>
      </c>
      <c r="AE18">
        <v>1</v>
      </c>
      <c r="AF18" t="s">
        <v>3</v>
      </c>
      <c r="AG18">
        <v>0.8</v>
      </c>
      <c r="AH18">
        <v>2</v>
      </c>
      <c r="AI18">
        <v>73147505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ROW(Source!A42)</f>
        <v>42</v>
      </c>
      <c r="B19">
        <v>73147547</v>
      </c>
      <c r="C19">
        <v>73147545</v>
      </c>
      <c r="D19">
        <v>55597730</v>
      </c>
      <c r="E19">
        <v>58</v>
      </c>
      <c r="F19">
        <v>1</v>
      </c>
      <c r="G19">
        <v>1</v>
      </c>
      <c r="H19">
        <v>1</v>
      </c>
      <c r="I19" t="s">
        <v>248</v>
      </c>
      <c r="J19" t="s">
        <v>3</v>
      </c>
      <c r="K19" t="s">
        <v>249</v>
      </c>
      <c r="L19">
        <v>1191</v>
      </c>
      <c r="N19">
        <v>1013</v>
      </c>
      <c r="O19" t="s">
        <v>239</v>
      </c>
      <c r="P19" t="s">
        <v>239</v>
      </c>
      <c r="Q19">
        <v>1</v>
      </c>
      <c r="X19">
        <v>1.61</v>
      </c>
      <c r="Y19">
        <v>0</v>
      </c>
      <c r="Z19">
        <v>0</v>
      </c>
      <c r="AA19">
        <v>0</v>
      </c>
      <c r="AB19">
        <v>7.56</v>
      </c>
      <c r="AC19">
        <v>0</v>
      </c>
      <c r="AD19">
        <v>1</v>
      </c>
      <c r="AE19">
        <v>1</v>
      </c>
      <c r="AF19" t="s">
        <v>3</v>
      </c>
      <c r="AG19">
        <v>1.61</v>
      </c>
      <c r="AH19">
        <v>2</v>
      </c>
      <c r="AI19">
        <v>73147546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ROW(Source!A43)</f>
        <v>43</v>
      </c>
      <c r="B20">
        <v>73147547</v>
      </c>
      <c r="C20">
        <v>73147545</v>
      </c>
      <c r="D20">
        <v>55597730</v>
      </c>
      <c r="E20">
        <v>58</v>
      </c>
      <c r="F20">
        <v>1</v>
      </c>
      <c r="G20">
        <v>1</v>
      </c>
      <c r="H20">
        <v>1</v>
      </c>
      <c r="I20" t="s">
        <v>248</v>
      </c>
      <c r="J20" t="s">
        <v>3</v>
      </c>
      <c r="K20" t="s">
        <v>249</v>
      </c>
      <c r="L20">
        <v>1191</v>
      </c>
      <c r="N20">
        <v>1013</v>
      </c>
      <c r="O20" t="s">
        <v>239</v>
      </c>
      <c r="P20" t="s">
        <v>239</v>
      </c>
      <c r="Q20">
        <v>1</v>
      </c>
      <c r="X20">
        <v>1.61</v>
      </c>
      <c r="Y20">
        <v>0</v>
      </c>
      <c r="Z20">
        <v>0</v>
      </c>
      <c r="AA20">
        <v>0</v>
      </c>
      <c r="AB20">
        <v>7.56</v>
      </c>
      <c r="AC20">
        <v>0</v>
      </c>
      <c r="AD20">
        <v>1</v>
      </c>
      <c r="AE20">
        <v>1</v>
      </c>
      <c r="AF20" t="s">
        <v>3</v>
      </c>
      <c r="AG20">
        <v>1.61</v>
      </c>
      <c r="AH20">
        <v>2</v>
      </c>
      <c r="AI20">
        <v>73147546</v>
      </c>
      <c r="AJ20">
        <v>20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ROW(Source!A44)</f>
        <v>44</v>
      </c>
      <c r="B21">
        <v>73147514</v>
      </c>
      <c r="C21">
        <v>73147510</v>
      </c>
      <c r="D21">
        <v>55597804</v>
      </c>
      <c r="E21">
        <v>58</v>
      </c>
      <c r="F21">
        <v>1</v>
      </c>
      <c r="G21">
        <v>1</v>
      </c>
      <c r="H21">
        <v>1</v>
      </c>
      <c r="I21" t="s">
        <v>237</v>
      </c>
      <c r="J21" t="s">
        <v>3</v>
      </c>
      <c r="K21" t="s">
        <v>238</v>
      </c>
      <c r="L21">
        <v>1191</v>
      </c>
      <c r="N21">
        <v>1013</v>
      </c>
      <c r="O21" t="s">
        <v>239</v>
      </c>
      <c r="P21" t="s">
        <v>239</v>
      </c>
      <c r="Q21">
        <v>1</v>
      </c>
      <c r="X21">
        <v>3.04</v>
      </c>
      <c r="Y21">
        <v>0</v>
      </c>
      <c r="Z21">
        <v>0</v>
      </c>
      <c r="AA21">
        <v>0</v>
      </c>
      <c r="AB21">
        <v>9.07</v>
      </c>
      <c r="AC21">
        <v>0</v>
      </c>
      <c r="AD21">
        <v>1</v>
      </c>
      <c r="AE21">
        <v>1</v>
      </c>
      <c r="AF21" t="s">
        <v>3</v>
      </c>
      <c r="AG21">
        <v>3.04</v>
      </c>
      <c r="AH21">
        <v>2</v>
      </c>
      <c r="AI21">
        <v>73147511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ROW(Source!A44)</f>
        <v>44</v>
      </c>
      <c r="B22">
        <v>73147515</v>
      </c>
      <c r="C22">
        <v>73147510</v>
      </c>
      <c r="D22">
        <v>55597967</v>
      </c>
      <c r="E22">
        <v>58</v>
      </c>
      <c r="F22">
        <v>1</v>
      </c>
      <c r="G22">
        <v>1</v>
      </c>
      <c r="H22">
        <v>1</v>
      </c>
      <c r="I22" t="s">
        <v>250</v>
      </c>
      <c r="J22" t="s">
        <v>3</v>
      </c>
      <c r="K22" t="s">
        <v>243</v>
      </c>
      <c r="L22">
        <v>1191</v>
      </c>
      <c r="N22">
        <v>1013</v>
      </c>
      <c r="O22" t="s">
        <v>239</v>
      </c>
      <c r="P22" t="s">
        <v>239</v>
      </c>
      <c r="Q22">
        <v>1</v>
      </c>
      <c r="X22">
        <v>1.48</v>
      </c>
      <c r="Y22">
        <v>0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2</v>
      </c>
      <c r="AF22" t="s">
        <v>3</v>
      </c>
      <c r="AG22">
        <v>1.48</v>
      </c>
      <c r="AH22">
        <v>2</v>
      </c>
      <c r="AI22">
        <v>73147512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ROW(Source!A44)</f>
        <v>44</v>
      </c>
      <c r="B23">
        <v>73147516</v>
      </c>
      <c r="C23">
        <v>73147510</v>
      </c>
      <c r="D23">
        <v>55758922</v>
      </c>
      <c r="E23">
        <v>1</v>
      </c>
      <c r="F23">
        <v>1</v>
      </c>
      <c r="G23">
        <v>1</v>
      </c>
      <c r="H23">
        <v>2</v>
      </c>
      <c r="I23" t="s">
        <v>244</v>
      </c>
      <c r="J23" t="s">
        <v>245</v>
      </c>
      <c r="K23" t="s">
        <v>246</v>
      </c>
      <c r="L23">
        <v>1368</v>
      </c>
      <c r="N23">
        <v>1011</v>
      </c>
      <c r="O23" t="s">
        <v>247</v>
      </c>
      <c r="P23" t="s">
        <v>247</v>
      </c>
      <c r="Q23">
        <v>1</v>
      </c>
      <c r="X23">
        <v>1.48</v>
      </c>
      <c r="Y23">
        <v>0</v>
      </c>
      <c r="Z23">
        <v>199.96</v>
      </c>
      <c r="AA23">
        <v>11.6</v>
      </c>
      <c r="AB23">
        <v>0</v>
      </c>
      <c r="AC23">
        <v>0</v>
      </c>
      <c r="AD23">
        <v>1</v>
      </c>
      <c r="AE23">
        <v>0</v>
      </c>
      <c r="AF23" t="s">
        <v>3</v>
      </c>
      <c r="AG23">
        <v>1.48</v>
      </c>
      <c r="AH23">
        <v>2</v>
      </c>
      <c r="AI23">
        <v>73147513</v>
      </c>
      <c r="AJ23">
        <v>23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ROW(Source!A45)</f>
        <v>45</v>
      </c>
      <c r="B24">
        <v>73147514</v>
      </c>
      <c r="C24">
        <v>73147510</v>
      </c>
      <c r="D24">
        <v>55597804</v>
      </c>
      <c r="E24">
        <v>58</v>
      </c>
      <c r="F24">
        <v>1</v>
      </c>
      <c r="G24">
        <v>1</v>
      </c>
      <c r="H24">
        <v>1</v>
      </c>
      <c r="I24" t="s">
        <v>237</v>
      </c>
      <c r="J24" t="s">
        <v>3</v>
      </c>
      <c r="K24" t="s">
        <v>238</v>
      </c>
      <c r="L24">
        <v>1191</v>
      </c>
      <c r="N24">
        <v>1013</v>
      </c>
      <c r="O24" t="s">
        <v>239</v>
      </c>
      <c r="P24" t="s">
        <v>239</v>
      </c>
      <c r="Q24">
        <v>1</v>
      </c>
      <c r="X24">
        <v>3.04</v>
      </c>
      <c r="Y24">
        <v>0</v>
      </c>
      <c r="Z24">
        <v>0</v>
      </c>
      <c r="AA24">
        <v>0</v>
      </c>
      <c r="AB24">
        <v>9.07</v>
      </c>
      <c r="AC24">
        <v>0</v>
      </c>
      <c r="AD24">
        <v>1</v>
      </c>
      <c r="AE24">
        <v>1</v>
      </c>
      <c r="AF24" t="s">
        <v>3</v>
      </c>
      <c r="AG24">
        <v>3.04</v>
      </c>
      <c r="AH24">
        <v>2</v>
      </c>
      <c r="AI24">
        <v>73147511</v>
      </c>
      <c r="AJ24">
        <v>24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>
      <c r="A25">
        <f>ROW(Source!A45)</f>
        <v>45</v>
      </c>
      <c r="B25">
        <v>73147515</v>
      </c>
      <c r="C25">
        <v>73147510</v>
      </c>
      <c r="D25">
        <v>55597967</v>
      </c>
      <c r="E25">
        <v>58</v>
      </c>
      <c r="F25">
        <v>1</v>
      </c>
      <c r="G25">
        <v>1</v>
      </c>
      <c r="H25">
        <v>1</v>
      </c>
      <c r="I25" t="s">
        <v>250</v>
      </c>
      <c r="J25" t="s">
        <v>3</v>
      </c>
      <c r="K25" t="s">
        <v>243</v>
      </c>
      <c r="L25">
        <v>1191</v>
      </c>
      <c r="N25">
        <v>1013</v>
      </c>
      <c r="O25" t="s">
        <v>239</v>
      </c>
      <c r="P25" t="s">
        <v>239</v>
      </c>
      <c r="Q25">
        <v>1</v>
      </c>
      <c r="X25">
        <v>1.48</v>
      </c>
      <c r="Y25">
        <v>0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2</v>
      </c>
      <c r="AF25" t="s">
        <v>3</v>
      </c>
      <c r="AG25">
        <v>1.48</v>
      </c>
      <c r="AH25">
        <v>2</v>
      </c>
      <c r="AI25">
        <v>73147512</v>
      </c>
      <c r="AJ25">
        <v>25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>
      <c r="A26">
        <f>ROW(Source!A45)</f>
        <v>45</v>
      </c>
      <c r="B26">
        <v>73147516</v>
      </c>
      <c r="C26">
        <v>73147510</v>
      </c>
      <c r="D26">
        <v>55758922</v>
      </c>
      <c r="E26">
        <v>1</v>
      </c>
      <c r="F26">
        <v>1</v>
      </c>
      <c r="G26">
        <v>1</v>
      </c>
      <c r="H26">
        <v>2</v>
      </c>
      <c r="I26" t="s">
        <v>244</v>
      </c>
      <c r="J26" t="s">
        <v>245</v>
      </c>
      <c r="K26" t="s">
        <v>246</v>
      </c>
      <c r="L26">
        <v>1368</v>
      </c>
      <c r="N26">
        <v>1011</v>
      </c>
      <c r="O26" t="s">
        <v>247</v>
      </c>
      <c r="P26" t="s">
        <v>247</v>
      </c>
      <c r="Q26">
        <v>1</v>
      </c>
      <c r="X26">
        <v>1.48</v>
      </c>
      <c r="Y26">
        <v>0</v>
      </c>
      <c r="Z26">
        <v>199.96</v>
      </c>
      <c r="AA26">
        <v>11.6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1.48</v>
      </c>
      <c r="AH26">
        <v>2</v>
      </c>
      <c r="AI26">
        <v>73147513</v>
      </c>
      <c r="AJ26">
        <v>26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>
      <c r="A27">
        <f>ROW(Source!A46)</f>
        <v>46</v>
      </c>
      <c r="B27">
        <v>73147521</v>
      </c>
      <c r="C27">
        <v>73147517</v>
      </c>
      <c r="D27">
        <v>55597804</v>
      </c>
      <c r="E27">
        <v>58</v>
      </c>
      <c r="F27">
        <v>1</v>
      </c>
      <c r="G27">
        <v>1</v>
      </c>
      <c r="H27">
        <v>1</v>
      </c>
      <c r="I27" t="s">
        <v>237</v>
      </c>
      <c r="J27" t="s">
        <v>3</v>
      </c>
      <c r="K27" t="s">
        <v>238</v>
      </c>
      <c r="L27">
        <v>1191</v>
      </c>
      <c r="N27">
        <v>1013</v>
      </c>
      <c r="O27" t="s">
        <v>239</v>
      </c>
      <c r="P27" t="s">
        <v>239</v>
      </c>
      <c r="Q27">
        <v>1</v>
      </c>
      <c r="X27">
        <v>1.1100000000000001</v>
      </c>
      <c r="Y27">
        <v>0</v>
      </c>
      <c r="Z27">
        <v>0</v>
      </c>
      <c r="AA27">
        <v>0</v>
      </c>
      <c r="AB27">
        <v>9.07</v>
      </c>
      <c r="AC27">
        <v>0</v>
      </c>
      <c r="AD27">
        <v>1</v>
      </c>
      <c r="AE27">
        <v>1</v>
      </c>
      <c r="AF27" t="s">
        <v>3</v>
      </c>
      <c r="AG27">
        <v>1.1100000000000001</v>
      </c>
      <c r="AH27">
        <v>2</v>
      </c>
      <c r="AI27">
        <v>73147518</v>
      </c>
      <c r="AJ27">
        <v>27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>
      <c r="A28">
        <f>ROW(Source!A46)</f>
        <v>46</v>
      </c>
      <c r="B28">
        <v>73147522</v>
      </c>
      <c r="C28">
        <v>73147517</v>
      </c>
      <c r="D28">
        <v>55597967</v>
      </c>
      <c r="E28">
        <v>58</v>
      </c>
      <c r="F28">
        <v>1</v>
      </c>
      <c r="G28">
        <v>1</v>
      </c>
      <c r="H28">
        <v>1</v>
      </c>
      <c r="I28" t="s">
        <v>250</v>
      </c>
      <c r="J28" t="s">
        <v>3</v>
      </c>
      <c r="K28" t="s">
        <v>243</v>
      </c>
      <c r="L28">
        <v>1191</v>
      </c>
      <c r="N28">
        <v>1013</v>
      </c>
      <c r="O28" t="s">
        <v>239</v>
      </c>
      <c r="P28" t="s">
        <v>239</v>
      </c>
      <c r="Q28">
        <v>1</v>
      </c>
      <c r="X28">
        <v>0.54</v>
      </c>
      <c r="Y28">
        <v>0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2</v>
      </c>
      <c r="AF28" t="s">
        <v>3</v>
      </c>
      <c r="AG28">
        <v>0.54</v>
      </c>
      <c r="AH28">
        <v>2</v>
      </c>
      <c r="AI28">
        <v>73147519</v>
      </c>
      <c r="AJ28">
        <v>28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>
      <c r="A29">
        <f>ROW(Source!A46)</f>
        <v>46</v>
      </c>
      <c r="B29">
        <v>73147523</v>
      </c>
      <c r="C29">
        <v>73147517</v>
      </c>
      <c r="D29">
        <v>55758922</v>
      </c>
      <c r="E29">
        <v>1</v>
      </c>
      <c r="F29">
        <v>1</v>
      </c>
      <c r="G29">
        <v>1</v>
      </c>
      <c r="H29">
        <v>2</v>
      </c>
      <c r="I29" t="s">
        <v>244</v>
      </c>
      <c r="J29" t="s">
        <v>245</v>
      </c>
      <c r="K29" t="s">
        <v>246</v>
      </c>
      <c r="L29">
        <v>1368</v>
      </c>
      <c r="N29">
        <v>1011</v>
      </c>
      <c r="O29" t="s">
        <v>247</v>
      </c>
      <c r="P29" t="s">
        <v>247</v>
      </c>
      <c r="Q29">
        <v>1</v>
      </c>
      <c r="X29">
        <v>0.54</v>
      </c>
      <c r="Y29">
        <v>0</v>
      </c>
      <c r="Z29">
        <v>199.96</v>
      </c>
      <c r="AA29">
        <v>11.6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0.54</v>
      </c>
      <c r="AH29">
        <v>2</v>
      </c>
      <c r="AI29">
        <v>73147520</v>
      </c>
      <c r="AJ29">
        <v>29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>
      <c r="A30">
        <f>ROW(Source!A47)</f>
        <v>47</v>
      </c>
      <c r="B30">
        <v>73147521</v>
      </c>
      <c r="C30">
        <v>73147517</v>
      </c>
      <c r="D30">
        <v>55597804</v>
      </c>
      <c r="E30">
        <v>58</v>
      </c>
      <c r="F30">
        <v>1</v>
      </c>
      <c r="G30">
        <v>1</v>
      </c>
      <c r="H30">
        <v>1</v>
      </c>
      <c r="I30" t="s">
        <v>237</v>
      </c>
      <c r="J30" t="s">
        <v>3</v>
      </c>
      <c r="K30" t="s">
        <v>238</v>
      </c>
      <c r="L30">
        <v>1191</v>
      </c>
      <c r="N30">
        <v>1013</v>
      </c>
      <c r="O30" t="s">
        <v>239</v>
      </c>
      <c r="P30" t="s">
        <v>239</v>
      </c>
      <c r="Q30">
        <v>1</v>
      </c>
      <c r="X30">
        <v>1.1100000000000001</v>
      </c>
      <c r="Y30">
        <v>0</v>
      </c>
      <c r="Z30">
        <v>0</v>
      </c>
      <c r="AA30">
        <v>0</v>
      </c>
      <c r="AB30">
        <v>9.07</v>
      </c>
      <c r="AC30">
        <v>0</v>
      </c>
      <c r="AD30">
        <v>1</v>
      </c>
      <c r="AE30">
        <v>1</v>
      </c>
      <c r="AF30" t="s">
        <v>3</v>
      </c>
      <c r="AG30">
        <v>1.1100000000000001</v>
      </c>
      <c r="AH30">
        <v>2</v>
      </c>
      <c r="AI30">
        <v>73147518</v>
      </c>
      <c r="AJ30">
        <v>30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>
      <c r="A31">
        <f>ROW(Source!A47)</f>
        <v>47</v>
      </c>
      <c r="B31">
        <v>73147522</v>
      </c>
      <c r="C31">
        <v>73147517</v>
      </c>
      <c r="D31">
        <v>55597967</v>
      </c>
      <c r="E31">
        <v>58</v>
      </c>
      <c r="F31">
        <v>1</v>
      </c>
      <c r="G31">
        <v>1</v>
      </c>
      <c r="H31">
        <v>1</v>
      </c>
      <c r="I31" t="s">
        <v>250</v>
      </c>
      <c r="J31" t="s">
        <v>3</v>
      </c>
      <c r="K31" t="s">
        <v>243</v>
      </c>
      <c r="L31">
        <v>1191</v>
      </c>
      <c r="N31">
        <v>1013</v>
      </c>
      <c r="O31" t="s">
        <v>239</v>
      </c>
      <c r="P31" t="s">
        <v>239</v>
      </c>
      <c r="Q31">
        <v>1</v>
      </c>
      <c r="X31">
        <v>0.54</v>
      </c>
      <c r="Y31">
        <v>0</v>
      </c>
      <c r="Z31">
        <v>0</v>
      </c>
      <c r="AA31">
        <v>0</v>
      </c>
      <c r="AB31">
        <v>0</v>
      </c>
      <c r="AC31">
        <v>0</v>
      </c>
      <c r="AD31">
        <v>1</v>
      </c>
      <c r="AE31">
        <v>2</v>
      </c>
      <c r="AF31" t="s">
        <v>3</v>
      </c>
      <c r="AG31">
        <v>0.54</v>
      </c>
      <c r="AH31">
        <v>2</v>
      </c>
      <c r="AI31">
        <v>73147519</v>
      </c>
      <c r="AJ31">
        <v>31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>
      <c r="A32">
        <f>ROW(Source!A47)</f>
        <v>47</v>
      </c>
      <c r="B32">
        <v>73147523</v>
      </c>
      <c r="C32">
        <v>73147517</v>
      </c>
      <c r="D32">
        <v>55758922</v>
      </c>
      <c r="E32">
        <v>1</v>
      </c>
      <c r="F32">
        <v>1</v>
      </c>
      <c r="G32">
        <v>1</v>
      </c>
      <c r="H32">
        <v>2</v>
      </c>
      <c r="I32" t="s">
        <v>244</v>
      </c>
      <c r="J32" t="s">
        <v>245</v>
      </c>
      <c r="K32" t="s">
        <v>246</v>
      </c>
      <c r="L32">
        <v>1368</v>
      </c>
      <c r="N32">
        <v>1011</v>
      </c>
      <c r="O32" t="s">
        <v>247</v>
      </c>
      <c r="P32" t="s">
        <v>247</v>
      </c>
      <c r="Q32">
        <v>1</v>
      </c>
      <c r="X32">
        <v>0.54</v>
      </c>
      <c r="Y32">
        <v>0</v>
      </c>
      <c r="Z32">
        <v>199.96</v>
      </c>
      <c r="AA32">
        <v>11.6</v>
      </c>
      <c r="AB32">
        <v>0</v>
      </c>
      <c r="AC32">
        <v>0</v>
      </c>
      <c r="AD32">
        <v>1</v>
      </c>
      <c r="AE32">
        <v>0</v>
      </c>
      <c r="AF32" t="s">
        <v>3</v>
      </c>
      <c r="AG32">
        <v>0.54</v>
      </c>
      <c r="AH32">
        <v>2</v>
      </c>
      <c r="AI32">
        <v>73147520</v>
      </c>
      <c r="AJ32">
        <v>32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>
      <c r="A33">
        <f>ROW(Source!A48)</f>
        <v>48</v>
      </c>
      <c r="B33">
        <v>73147528</v>
      </c>
      <c r="C33">
        <v>73147524</v>
      </c>
      <c r="D33">
        <v>58816074</v>
      </c>
      <c r="E33">
        <v>66</v>
      </c>
      <c r="F33">
        <v>1</v>
      </c>
      <c r="G33">
        <v>1</v>
      </c>
      <c r="H33">
        <v>1</v>
      </c>
      <c r="I33" t="s">
        <v>237</v>
      </c>
      <c r="J33" t="s">
        <v>3</v>
      </c>
      <c r="K33" t="s">
        <v>251</v>
      </c>
      <c r="L33">
        <v>1191</v>
      </c>
      <c r="N33">
        <v>1013</v>
      </c>
      <c r="O33" t="s">
        <v>239</v>
      </c>
      <c r="P33" t="s">
        <v>239</v>
      </c>
      <c r="Q33">
        <v>1</v>
      </c>
      <c r="X33">
        <v>3.83</v>
      </c>
      <c r="Y33">
        <v>0</v>
      </c>
      <c r="Z33">
        <v>0</v>
      </c>
      <c r="AA33">
        <v>0</v>
      </c>
      <c r="AB33">
        <v>9.07</v>
      </c>
      <c r="AC33">
        <v>0</v>
      </c>
      <c r="AD33">
        <v>1</v>
      </c>
      <c r="AE33">
        <v>1</v>
      </c>
      <c r="AF33" t="s">
        <v>3</v>
      </c>
      <c r="AG33">
        <v>3.83</v>
      </c>
      <c r="AH33">
        <v>2</v>
      </c>
      <c r="AI33">
        <v>73147525</v>
      </c>
      <c r="AJ33">
        <v>33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>
      <c r="A34">
        <f>ROW(Source!A48)</f>
        <v>48</v>
      </c>
      <c r="B34">
        <v>73147529</v>
      </c>
      <c r="C34">
        <v>73147524</v>
      </c>
      <c r="D34">
        <v>58816315</v>
      </c>
      <c r="E34">
        <v>66</v>
      </c>
      <c r="F34">
        <v>1</v>
      </c>
      <c r="G34">
        <v>1</v>
      </c>
      <c r="H34">
        <v>1</v>
      </c>
      <c r="I34" t="s">
        <v>242</v>
      </c>
      <c r="J34" t="s">
        <v>3</v>
      </c>
      <c r="K34" t="s">
        <v>243</v>
      </c>
      <c r="L34">
        <v>1191</v>
      </c>
      <c r="N34">
        <v>1013</v>
      </c>
      <c r="O34" t="s">
        <v>239</v>
      </c>
      <c r="P34" t="s">
        <v>239</v>
      </c>
      <c r="Q34">
        <v>1</v>
      </c>
      <c r="X34">
        <v>1.86</v>
      </c>
      <c r="Y34">
        <v>0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2</v>
      </c>
      <c r="AF34" t="s">
        <v>3</v>
      </c>
      <c r="AG34">
        <v>1.86</v>
      </c>
      <c r="AH34">
        <v>2</v>
      </c>
      <c r="AI34">
        <v>73147526</v>
      </c>
      <c r="AJ34">
        <v>34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>
      <c r="A35">
        <f>ROW(Source!A48)</f>
        <v>48</v>
      </c>
      <c r="B35">
        <v>73147530</v>
      </c>
      <c r="C35">
        <v>73147524</v>
      </c>
      <c r="D35">
        <v>58826786</v>
      </c>
      <c r="E35">
        <v>1</v>
      </c>
      <c r="F35">
        <v>1</v>
      </c>
      <c r="G35">
        <v>1</v>
      </c>
      <c r="H35">
        <v>2</v>
      </c>
      <c r="I35" t="s">
        <v>244</v>
      </c>
      <c r="J35" t="s">
        <v>245</v>
      </c>
      <c r="K35" t="s">
        <v>246</v>
      </c>
      <c r="L35">
        <v>1367</v>
      </c>
      <c r="N35">
        <v>1011</v>
      </c>
      <c r="O35" t="s">
        <v>252</v>
      </c>
      <c r="P35" t="s">
        <v>252</v>
      </c>
      <c r="Q35">
        <v>1</v>
      </c>
      <c r="X35">
        <v>1.86</v>
      </c>
      <c r="Y35">
        <v>0</v>
      </c>
      <c r="Z35">
        <v>199.96</v>
      </c>
      <c r="AA35">
        <v>11.6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1.86</v>
      </c>
      <c r="AH35">
        <v>2</v>
      </c>
      <c r="AI35">
        <v>73147527</v>
      </c>
      <c r="AJ35">
        <v>35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>
      <c r="A36">
        <f>ROW(Source!A49)</f>
        <v>49</v>
      </c>
      <c r="B36">
        <v>73147528</v>
      </c>
      <c r="C36">
        <v>73147524</v>
      </c>
      <c r="D36">
        <v>58816074</v>
      </c>
      <c r="E36">
        <v>66</v>
      </c>
      <c r="F36">
        <v>1</v>
      </c>
      <c r="G36">
        <v>1</v>
      </c>
      <c r="H36">
        <v>1</v>
      </c>
      <c r="I36" t="s">
        <v>237</v>
      </c>
      <c r="J36" t="s">
        <v>3</v>
      </c>
      <c r="K36" t="s">
        <v>251</v>
      </c>
      <c r="L36">
        <v>1191</v>
      </c>
      <c r="N36">
        <v>1013</v>
      </c>
      <c r="O36" t="s">
        <v>239</v>
      </c>
      <c r="P36" t="s">
        <v>239</v>
      </c>
      <c r="Q36">
        <v>1</v>
      </c>
      <c r="X36">
        <v>3.83</v>
      </c>
      <c r="Y36">
        <v>0</v>
      </c>
      <c r="Z36">
        <v>0</v>
      </c>
      <c r="AA36">
        <v>0</v>
      </c>
      <c r="AB36">
        <v>9.07</v>
      </c>
      <c r="AC36">
        <v>0</v>
      </c>
      <c r="AD36">
        <v>1</v>
      </c>
      <c r="AE36">
        <v>1</v>
      </c>
      <c r="AF36" t="s">
        <v>3</v>
      </c>
      <c r="AG36">
        <v>3.83</v>
      </c>
      <c r="AH36">
        <v>2</v>
      </c>
      <c r="AI36">
        <v>73147525</v>
      </c>
      <c r="AJ36">
        <v>36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>
      <c r="A37">
        <f>ROW(Source!A49)</f>
        <v>49</v>
      </c>
      <c r="B37">
        <v>73147529</v>
      </c>
      <c r="C37">
        <v>73147524</v>
      </c>
      <c r="D37">
        <v>58816315</v>
      </c>
      <c r="E37">
        <v>66</v>
      </c>
      <c r="F37">
        <v>1</v>
      </c>
      <c r="G37">
        <v>1</v>
      </c>
      <c r="H37">
        <v>1</v>
      </c>
      <c r="I37" t="s">
        <v>242</v>
      </c>
      <c r="J37" t="s">
        <v>3</v>
      </c>
      <c r="K37" t="s">
        <v>243</v>
      </c>
      <c r="L37">
        <v>1191</v>
      </c>
      <c r="N37">
        <v>1013</v>
      </c>
      <c r="O37" t="s">
        <v>239</v>
      </c>
      <c r="P37" t="s">
        <v>239</v>
      </c>
      <c r="Q37">
        <v>1</v>
      </c>
      <c r="X37">
        <v>1.86</v>
      </c>
      <c r="Y37">
        <v>0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2</v>
      </c>
      <c r="AF37" t="s">
        <v>3</v>
      </c>
      <c r="AG37">
        <v>1.86</v>
      </c>
      <c r="AH37">
        <v>2</v>
      </c>
      <c r="AI37">
        <v>73147526</v>
      </c>
      <c r="AJ37">
        <v>37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>
      <c r="A38">
        <f>ROW(Source!A49)</f>
        <v>49</v>
      </c>
      <c r="B38">
        <v>73147530</v>
      </c>
      <c r="C38">
        <v>73147524</v>
      </c>
      <c r="D38">
        <v>58826786</v>
      </c>
      <c r="E38">
        <v>1</v>
      </c>
      <c r="F38">
        <v>1</v>
      </c>
      <c r="G38">
        <v>1</v>
      </c>
      <c r="H38">
        <v>2</v>
      </c>
      <c r="I38" t="s">
        <v>244</v>
      </c>
      <c r="J38" t="s">
        <v>245</v>
      </c>
      <c r="K38" t="s">
        <v>246</v>
      </c>
      <c r="L38">
        <v>1367</v>
      </c>
      <c r="N38">
        <v>1011</v>
      </c>
      <c r="O38" t="s">
        <v>252</v>
      </c>
      <c r="P38" t="s">
        <v>252</v>
      </c>
      <c r="Q38">
        <v>1</v>
      </c>
      <c r="X38">
        <v>1.86</v>
      </c>
      <c r="Y38">
        <v>0</v>
      </c>
      <c r="Z38">
        <v>199.96</v>
      </c>
      <c r="AA38">
        <v>11.6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1.86</v>
      </c>
      <c r="AH38">
        <v>2</v>
      </c>
      <c r="AI38">
        <v>73147527</v>
      </c>
      <c r="AJ38">
        <v>38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>
      <c r="A39">
        <f>ROW(Source!A50)</f>
        <v>50</v>
      </c>
      <c r="B39">
        <v>73147535</v>
      </c>
      <c r="C39">
        <v>73147531</v>
      </c>
      <c r="D39">
        <v>55597804</v>
      </c>
      <c r="E39">
        <v>58</v>
      </c>
      <c r="F39">
        <v>1</v>
      </c>
      <c r="G39">
        <v>1</v>
      </c>
      <c r="H39">
        <v>1</v>
      </c>
      <c r="I39" t="s">
        <v>237</v>
      </c>
      <c r="J39" t="s">
        <v>3</v>
      </c>
      <c r="K39" t="s">
        <v>238</v>
      </c>
      <c r="L39">
        <v>1191</v>
      </c>
      <c r="N39">
        <v>1013</v>
      </c>
      <c r="O39" t="s">
        <v>239</v>
      </c>
      <c r="P39" t="s">
        <v>239</v>
      </c>
      <c r="Q39">
        <v>1</v>
      </c>
      <c r="X39">
        <v>3.04</v>
      </c>
      <c r="Y39">
        <v>0</v>
      </c>
      <c r="Z39">
        <v>0</v>
      </c>
      <c r="AA39">
        <v>0</v>
      </c>
      <c r="AB39">
        <v>9.07</v>
      </c>
      <c r="AC39">
        <v>0</v>
      </c>
      <c r="AD39">
        <v>1</v>
      </c>
      <c r="AE39">
        <v>1</v>
      </c>
      <c r="AF39" t="s">
        <v>3</v>
      </c>
      <c r="AG39">
        <v>3.04</v>
      </c>
      <c r="AH39">
        <v>2</v>
      </c>
      <c r="AI39">
        <v>73147532</v>
      </c>
      <c r="AJ39">
        <v>39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>
      <c r="A40">
        <f>ROW(Source!A50)</f>
        <v>50</v>
      </c>
      <c r="B40">
        <v>73147536</v>
      </c>
      <c r="C40">
        <v>73147531</v>
      </c>
      <c r="D40">
        <v>55597967</v>
      </c>
      <c r="E40">
        <v>58</v>
      </c>
      <c r="F40">
        <v>1</v>
      </c>
      <c r="G40">
        <v>1</v>
      </c>
      <c r="H40">
        <v>1</v>
      </c>
      <c r="I40" t="s">
        <v>250</v>
      </c>
      <c r="J40" t="s">
        <v>3</v>
      </c>
      <c r="K40" t="s">
        <v>243</v>
      </c>
      <c r="L40">
        <v>1191</v>
      </c>
      <c r="N40">
        <v>1013</v>
      </c>
      <c r="O40" t="s">
        <v>239</v>
      </c>
      <c r="P40" t="s">
        <v>239</v>
      </c>
      <c r="Q40">
        <v>1</v>
      </c>
      <c r="X40">
        <v>1.48</v>
      </c>
      <c r="Y40">
        <v>0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2</v>
      </c>
      <c r="AF40" t="s">
        <v>3</v>
      </c>
      <c r="AG40">
        <v>1.48</v>
      </c>
      <c r="AH40">
        <v>2</v>
      </c>
      <c r="AI40">
        <v>73147533</v>
      </c>
      <c r="AJ40">
        <v>40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>
      <c r="A41">
        <f>ROW(Source!A50)</f>
        <v>50</v>
      </c>
      <c r="B41">
        <v>73147537</v>
      </c>
      <c r="C41">
        <v>73147531</v>
      </c>
      <c r="D41">
        <v>55758922</v>
      </c>
      <c r="E41">
        <v>1</v>
      </c>
      <c r="F41">
        <v>1</v>
      </c>
      <c r="G41">
        <v>1</v>
      </c>
      <c r="H41">
        <v>2</v>
      </c>
      <c r="I41" t="s">
        <v>244</v>
      </c>
      <c r="J41" t="s">
        <v>245</v>
      </c>
      <c r="K41" t="s">
        <v>246</v>
      </c>
      <c r="L41">
        <v>1368</v>
      </c>
      <c r="N41">
        <v>1011</v>
      </c>
      <c r="O41" t="s">
        <v>247</v>
      </c>
      <c r="P41" t="s">
        <v>247</v>
      </c>
      <c r="Q41">
        <v>1</v>
      </c>
      <c r="X41">
        <v>1.48</v>
      </c>
      <c r="Y41">
        <v>0</v>
      </c>
      <c r="Z41">
        <v>199.96</v>
      </c>
      <c r="AA41">
        <v>11.6</v>
      </c>
      <c r="AB41">
        <v>0</v>
      </c>
      <c r="AC41">
        <v>0</v>
      </c>
      <c r="AD41">
        <v>1</v>
      </c>
      <c r="AE41">
        <v>0</v>
      </c>
      <c r="AF41" t="s">
        <v>3</v>
      </c>
      <c r="AG41">
        <v>1.48</v>
      </c>
      <c r="AH41">
        <v>2</v>
      </c>
      <c r="AI41">
        <v>73147534</v>
      </c>
      <c r="AJ41">
        <v>41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>
      <c r="A42">
        <f>ROW(Source!A51)</f>
        <v>51</v>
      </c>
      <c r="B42">
        <v>73147535</v>
      </c>
      <c r="C42">
        <v>73147531</v>
      </c>
      <c r="D42">
        <v>55597804</v>
      </c>
      <c r="E42">
        <v>58</v>
      </c>
      <c r="F42">
        <v>1</v>
      </c>
      <c r="G42">
        <v>1</v>
      </c>
      <c r="H42">
        <v>1</v>
      </c>
      <c r="I42" t="s">
        <v>237</v>
      </c>
      <c r="J42" t="s">
        <v>3</v>
      </c>
      <c r="K42" t="s">
        <v>238</v>
      </c>
      <c r="L42">
        <v>1191</v>
      </c>
      <c r="N42">
        <v>1013</v>
      </c>
      <c r="O42" t="s">
        <v>239</v>
      </c>
      <c r="P42" t="s">
        <v>239</v>
      </c>
      <c r="Q42">
        <v>1</v>
      </c>
      <c r="X42">
        <v>3.04</v>
      </c>
      <c r="Y42">
        <v>0</v>
      </c>
      <c r="Z42">
        <v>0</v>
      </c>
      <c r="AA42">
        <v>0</v>
      </c>
      <c r="AB42">
        <v>9.07</v>
      </c>
      <c r="AC42">
        <v>0</v>
      </c>
      <c r="AD42">
        <v>1</v>
      </c>
      <c r="AE42">
        <v>1</v>
      </c>
      <c r="AF42" t="s">
        <v>3</v>
      </c>
      <c r="AG42">
        <v>3.04</v>
      </c>
      <c r="AH42">
        <v>2</v>
      </c>
      <c r="AI42">
        <v>73147532</v>
      </c>
      <c r="AJ42">
        <v>42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>
      <c r="A43">
        <f>ROW(Source!A51)</f>
        <v>51</v>
      </c>
      <c r="B43">
        <v>73147536</v>
      </c>
      <c r="C43">
        <v>73147531</v>
      </c>
      <c r="D43">
        <v>55597967</v>
      </c>
      <c r="E43">
        <v>58</v>
      </c>
      <c r="F43">
        <v>1</v>
      </c>
      <c r="G43">
        <v>1</v>
      </c>
      <c r="H43">
        <v>1</v>
      </c>
      <c r="I43" t="s">
        <v>250</v>
      </c>
      <c r="J43" t="s">
        <v>3</v>
      </c>
      <c r="K43" t="s">
        <v>243</v>
      </c>
      <c r="L43">
        <v>1191</v>
      </c>
      <c r="N43">
        <v>1013</v>
      </c>
      <c r="O43" t="s">
        <v>239</v>
      </c>
      <c r="P43" t="s">
        <v>239</v>
      </c>
      <c r="Q43">
        <v>1</v>
      </c>
      <c r="X43">
        <v>1.48</v>
      </c>
      <c r="Y43">
        <v>0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2</v>
      </c>
      <c r="AF43" t="s">
        <v>3</v>
      </c>
      <c r="AG43">
        <v>1.48</v>
      </c>
      <c r="AH43">
        <v>2</v>
      </c>
      <c r="AI43">
        <v>73147533</v>
      </c>
      <c r="AJ43">
        <v>43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>
      <c r="A44">
        <f>ROW(Source!A51)</f>
        <v>51</v>
      </c>
      <c r="B44">
        <v>73147537</v>
      </c>
      <c r="C44">
        <v>73147531</v>
      </c>
      <c r="D44">
        <v>55758922</v>
      </c>
      <c r="E44">
        <v>1</v>
      </c>
      <c r="F44">
        <v>1</v>
      </c>
      <c r="G44">
        <v>1</v>
      </c>
      <c r="H44">
        <v>2</v>
      </c>
      <c r="I44" t="s">
        <v>244</v>
      </c>
      <c r="J44" t="s">
        <v>245</v>
      </c>
      <c r="K44" t="s">
        <v>246</v>
      </c>
      <c r="L44">
        <v>1368</v>
      </c>
      <c r="N44">
        <v>1011</v>
      </c>
      <c r="O44" t="s">
        <v>247</v>
      </c>
      <c r="P44" t="s">
        <v>247</v>
      </c>
      <c r="Q44">
        <v>1</v>
      </c>
      <c r="X44">
        <v>1.48</v>
      </c>
      <c r="Y44">
        <v>0</v>
      </c>
      <c r="Z44">
        <v>199.96</v>
      </c>
      <c r="AA44">
        <v>11.6</v>
      </c>
      <c r="AB44">
        <v>0</v>
      </c>
      <c r="AC44">
        <v>0</v>
      </c>
      <c r="AD44">
        <v>1</v>
      </c>
      <c r="AE44">
        <v>0</v>
      </c>
      <c r="AF44" t="s">
        <v>3</v>
      </c>
      <c r="AG44">
        <v>1.48</v>
      </c>
      <c r="AH44">
        <v>2</v>
      </c>
      <c r="AI44">
        <v>73147534</v>
      </c>
      <c r="AJ44">
        <v>44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>
      <c r="A45">
        <f>ROW(Source!A52)</f>
        <v>52</v>
      </c>
      <c r="B45">
        <v>73147542</v>
      </c>
      <c r="C45">
        <v>73147538</v>
      </c>
      <c r="D45">
        <v>55597804</v>
      </c>
      <c r="E45">
        <v>58</v>
      </c>
      <c r="F45">
        <v>1</v>
      </c>
      <c r="G45">
        <v>1</v>
      </c>
      <c r="H45">
        <v>1</v>
      </c>
      <c r="I45" t="s">
        <v>237</v>
      </c>
      <c r="J45" t="s">
        <v>3</v>
      </c>
      <c r="K45" t="s">
        <v>238</v>
      </c>
      <c r="L45">
        <v>1191</v>
      </c>
      <c r="N45">
        <v>1013</v>
      </c>
      <c r="O45" t="s">
        <v>239</v>
      </c>
      <c r="P45" t="s">
        <v>239</v>
      </c>
      <c r="Q45">
        <v>1</v>
      </c>
      <c r="X45">
        <v>1.1100000000000001</v>
      </c>
      <c r="Y45">
        <v>0</v>
      </c>
      <c r="Z45">
        <v>0</v>
      </c>
      <c r="AA45">
        <v>0</v>
      </c>
      <c r="AB45">
        <v>9.07</v>
      </c>
      <c r="AC45">
        <v>0</v>
      </c>
      <c r="AD45">
        <v>1</v>
      </c>
      <c r="AE45">
        <v>1</v>
      </c>
      <c r="AF45" t="s">
        <v>3</v>
      </c>
      <c r="AG45">
        <v>1.1100000000000001</v>
      </c>
      <c r="AH45">
        <v>2</v>
      </c>
      <c r="AI45">
        <v>73147539</v>
      </c>
      <c r="AJ45">
        <v>45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>
      <c r="A46">
        <f>ROW(Source!A52)</f>
        <v>52</v>
      </c>
      <c r="B46">
        <v>73147543</v>
      </c>
      <c r="C46">
        <v>73147538</v>
      </c>
      <c r="D46">
        <v>55597967</v>
      </c>
      <c r="E46">
        <v>58</v>
      </c>
      <c r="F46">
        <v>1</v>
      </c>
      <c r="G46">
        <v>1</v>
      </c>
      <c r="H46">
        <v>1</v>
      </c>
      <c r="I46" t="s">
        <v>250</v>
      </c>
      <c r="J46" t="s">
        <v>3</v>
      </c>
      <c r="K46" t="s">
        <v>243</v>
      </c>
      <c r="L46">
        <v>1191</v>
      </c>
      <c r="N46">
        <v>1013</v>
      </c>
      <c r="O46" t="s">
        <v>239</v>
      </c>
      <c r="P46" t="s">
        <v>239</v>
      </c>
      <c r="Q46">
        <v>1</v>
      </c>
      <c r="X46">
        <v>0.54</v>
      </c>
      <c r="Y46">
        <v>0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2</v>
      </c>
      <c r="AF46" t="s">
        <v>3</v>
      </c>
      <c r="AG46">
        <v>0.54</v>
      </c>
      <c r="AH46">
        <v>2</v>
      </c>
      <c r="AI46">
        <v>73147540</v>
      </c>
      <c r="AJ46">
        <v>46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>
      <c r="A47">
        <f>ROW(Source!A52)</f>
        <v>52</v>
      </c>
      <c r="B47">
        <v>73147544</v>
      </c>
      <c r="C47">
        <v>73147538</v>
      </c>
      <c r="D47">
        <v>55758922</v>
      </c>
      <c r="E47">
        <v>1</v>
      </c>
      <c r="F47">
        <v>1</v>
      </c>
      <c r="G47">
        <v>1</v>
      </c>
      <c r="H47">
        <v>2</v>
      </c>
      <c r="I47" t="s">
        <v>244</v>
      </c>
      <c r="J47" t="s">
        <v>245</v>
      </c>
      <c r="K47" t="s">
        <v>246</v>
      </c>
      <c r="L47">
        <v>1368</v>
      </c>
      <c r="N47">
        <v>1011</v>
      </c>
      <c r="O47" t="s">
        <v>247</v>
      </c>
      <c r="P47" t="s">
        <v>247</v>
      </c>
      <c r="Q47">
        <v>1</v>
      </c>
      <c r="X47">
        <v>0.54</v>
      </c>
      <c r="Y47">
        <v>0</v>
      </c>
      <c r="Z47">
        <v>199.96</v>
      </c>
      <c r="AA47">
        <v>11.6</v>
      </c>
      <c r="AB47">
        <v>0</v>
      </c>
      <c r="AC47">
        <v>0</v>
      </c>
      <c r="AD47">
        <v>1</v>
      </c>
      <c r="AE47">
        <v>0</v>
      </c>
      <c r="AF47" t="s">
        <v>3</v>
      </c>
      <c r="AG47">
        <v>0.54</v>
      </c>
      <c r="AH47">
        <v>2</v>
      </c>
      <c r="AI47">
        <v>73147541</v>
      </c>
      <c r="AJ47">
        <v>47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>
      <c r="A48">
        <f>ROW(Source!A53)</f>
        <v>53</v>
      </c>
      <c r="B48">
        <v>73147542</v>
      </c>
      <c r="C48">
        <v>73147538</v>
      </c>
      <c r="D48">
        <v>55597804</v>
      </c>
      <c r="E48">
        <v>58</v>
      </c>
      <c r="F48">
        <v>1</v>
      </c>
      <c r="G48">
        <v>1</v>
      </c>
      <c r="H48">
        <v>1</v>
      </c>
      <c r="I48" t="s">
        <v>237</v>
      </c>
      <c r="J48" t="s">
        <v>3</v>
      </c>
      <c r="K48" t="s">
        <v>238</v>
      </c>
      <c r="L48">
        <v>1191</v>
      </c>
      <c r="N48">
        <v>1013</v>
      </c>
      <c r="O48" t="s">
        <v>239</v>
      </c>
      <c r="P48" t="s">
        <v>239</v>
      </c>
      <c r="Q48">
        <v>1</v>
      </c>
      <c r="X48">
        <v>1.1100000000000001</v>
      </c>
      <c r="Y48">
        <v>0</v>
      </c>
      <c r="Z48">
        <v>0</v>
      </c>
      <c r="AA48">
        <v>0</v>
      </c>
      <c r="AB48">
        <v>9.07</v>
      </c>
      <c r="AC48">
        <v>0</v>
      </c>
      <c r="AD48">
        <v>1</v>
      </c>
      <c r="AE48">
        <v>1</v>
      </c>
      <c r="AF48" t="s">
        <v>3</v>
      </c>
      <c r="AG48">
        <v>1.1100000000000001</v>
      </c>
      <c r="AH48">
        <v>2</v>
      </c>
      <c r="AI48">
        <v>73147539</v>
      </c>
      <c r="AJ48">
        <v>48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>
      <c r="A49">
        <f>ROW(Source!A53)</f>
        <v>53</v>
      </c>
      <c r="B49">
        <v>73147543</v>
      </c>
      <c r="C49">
        <v>73147538</v>
      </c>
      <c r="D49">
        <v>55597967</v>
      </c>
      <c r="E49">
        <v>58</v>
      </c>
      <c r="F49">
        <v>1</v>
      </c>
      <c r="G49">
        <v>1</v>
      </c>
      <c r="H49">
        <v>1</v>
      </c>
      <c r="I49" t="s">
        <v>250</v>
      </c>
      <c r="J49" t="s">
        <v>3</v>
      </c>
      <c r="K49" t="s">
        <v>243</v>
      </c>
      <c r="L49">
        <v>1191</v>
      </c>
      <c r="N49">
        <v>1013</v>
      </c>
      <c r="O49" t="s">
        <v>239</v>
      </c>
      <c r="P49" t="s">
        <v>239</v>
      </c>
      <c r="Q49">
        <v>1</v>
      </c>
      <c r="X49">
        <v>0.54</v>
      </c>
      <c r="Y49">
        <v>0</v>
      </c>
      <c r="Z49">
        <v>0</v>
      </c>
      <c r="AA49">
        <v>0</v>
      </c>
      <c r="AB49">
        <v>0</v>
      </c>
      <c r="AC49">
        <v>0</v>
      </c>
      <c r="AD49">
        <v>1</v>
      </c>
      <c r="AE49">
        <v>2</v>
      </c>
      <c r="AF49" t="s">
        <v>3</v>
      </c>
      <c r="AG49">
        <v>0.54</v>
      </c>
      <c r="AH49">
        <v>2</v>
      </c>
      <c r="AI49">
        <v>73147540</v>
      </c>
      <c r="AJ49">
        <v>49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>
      <c r="A50">
        <f>ROW(Source!A53)</f>
        <v>53</v>
      </c>
      <c r="B50">
        <v>73147544</v>
      </c>
      <c r="C50">
        <v>73147538</v>
      </c>
      <c r="D50">
        <v>55758922</v>
      </c>
      <c r="E50">
        <v>1</v>
      </c>
      <c r="F50">
        <v>1</v>
      </c>
      <c r="G50">
        <v>1</v>
      </c>
      <c r="H50">
        <v>2</v>
      </c>
      <c r="I50" t="s">
        <v>244</v>
      </c>
      <c r="J50" t="s">
        <v>245</v>
      </c>
      <c r="K50" t="s">
        <v>246</v>
      </c>
      <c r="L50">
        <v>1368</v>
      </c>
      <c r="N50">
        <v>1011</v>
      </c>
      <c r="O50" t="s">
        <v>247</v>
      </c>
      <c r="P50" t="s">
        <v>247</v>
      </c>
      <c r="Q50">
        <v>1</v>
      </c>
      <c r="X50">
        <v>0.54</v>
      </c>
      <c r="Y50">
        <v>0</v>
      </c>
      <c r="Z50">
        <v>199.96</v>
      </c>
      <c r="AA50">
        <v>11.6</v>
      </c>
      <c r="AB50">
        <v>0</v>
      </c>
      <c r="AC50">
        <v>0</v>
      </c>
      <c r="AD50">
        <v>1</v>
      </c>
      <c r="AE50">
        <v>0</v>
      </c>
      <c r="AF50" t="s">
        <v>3</v>
      </c>
      <c r="AG50">
        <v>0.54</v>
      </c>
      <c r="AH50">
        <v>2</v>
      </c>
      <c r="AI50">
        <v>73147541</v>
      </c>
      <c r="AJ50">
        <v>50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>
      <c r="A51">
        <f>ROW(Source!A58)</f>
        <v>58</v>
      </c>
      <c r="B51">
        <v>73147552</v>
      </c>
      <c r="C51">
        <v>73147550</v>
      </c>
      <c r="D51">
        <v>55597788</v>
      </c>
      <c r="E51">
        <v>58</v>
      </c>
      <c r="F51">
        <v>1</v>
      </c>
      <c r="G51">
        <v>1</v>
      </c>
      <c r="H51">
        <v>1</v>
      </c>
      <c r="I51" t="s">
        <v>240</v>
      </c>
      <c r="J51" t="s">
        <v>3</v>
      </c>
      <c r="K51" t="s">
        <v>241</v>
      </c>
      <c r="L51">
        <v>1191</v>
      </c>
      <c r="N51">
        <v>1013</v>
      </c>
      <c r="O51" t="s">
        <v>239</v>
      </c>
      <c r="P51" t="s">
        <v>239</v>
      </c>
      <c r="Q51">
        <v>1</v>
      </c>
      <c r="X51">
        <v>9.06</v>
      </c>
      <c r="Y51">
        <v>0</v>
      </c>
      <c r="Z51">
        <v>0</v>
      </c>
      <c r="AA51">
        <v>0</v>
      </c>
      <c r="AB51">
        <v>8.5299999999999994</v>
      </c>
      <c r="AC51">
        <v>0</v>
      </c>
      <c r="AD51">
        <v>1</v>
      </c>
      <c r="AE51">
        <v>1</v>
      </c>
      <c r="AF51" t="s">
        <v>3</v>
      </c>
      <c r="AG51">
        <v>9.06</v>
      </c>
      <c r="AH51">
        <v>2</v>
      </c>
      <c r="AI51">
        <v>73147551</v>
      </c>
      <c r="AJ51">
        <v>51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>
      <c r="A52">
        <f>ROW(Source!A59)</f>
        <v>59</v>
      </c>
      <c r="B52">
        <v>73147552</v>
      </c>
      <c r="C52">
        <v>73147550</v>
      </c>
      <c r="D52">
        <v>55597788</v>
      </c>
      <c r="E52">
        <v>58</v>
      </c>
      <c r="F52">
        <v>1</v>
      </c>
      <c r="G52">
        <v>1</v>
      </c>
      <c r="H52">
        <v>1</v>
      </c>
      <c r="I52" t="s">
        <v>240</v>
      </c>
      <c r="J52" t="s">
        <v>3</v>
      </c>
      <c r="K52" t="s">
        <v>241</v>
      </c>
      <c r="L52">
        <v>1191</v>
      </c>
      <c r="N52">
        <v>1013</v>
      </c>
      <c r="O52" t="s">
        <v>239</v>
      </c>
      <c r="P52" t="s">
        <v>239</v>
      </c>
      <c r="Q52">
        <v>1</v>
      </c>
      <c r="X52">
        <v>9.06</v>
      </c>
      <c r="Y52">
        <v>0</v>
      </c>
      <c r="Z52">
        <v>0</v>
      </c>
      <c r="AA52">
        <v>0</v>
      </c>
      <c r="AB52">
        <v>8.5299999999999994</v>
      </c>
      <c r="AC52">
        <v>0</v>
      </c>
      <c r="AD52">
        <v>1</v>
      </c>
      <c r="AE52">
        <v>1</v>
      </c>
      <c r="AF52" t="s">
        <v>3</v>
      </c>
      <c r="AG52">
        <v>9.06</v>
      </c>
      <c r="AH52">
        <v>2</v>
      </c>
      <c r="AI52">
        <v>73147551</v>
      </c>
      <c r="AJ52">
        <v>52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>
      <c r="A53">
        <f>ROW(Source!A60)</f>
        <v>60</v>
      </c>
      <c r="B53">
        <v>73147557</v>
      </c>
      <c r="C53">
        <v>73147553</v>
      </c>
      <c r="D53">
        <v>55597804</v>
      </c>
      <c r="E53">
        <v>58</v>
      </c>
      <c r="F53">
        <v>1</v>
      </c>
      <c r="G53">
        <v>1</v>
      </c>
      <c r="H53">
        <v>1</v>
      </c>
      <c r="I53" t="s">
        <v>237</v>
      </c>
      <c r="J53" t="s">
        <v>3</v>
      </c>
      <c r="K53" t="s">
        <v>238</v>
      </c>
      <c r="L53">
        <v>1191</v>
      </c>
      <c r="N53">
        <v>1013</v>
      </c>
      <c r="O53" t="s">
        <v>239</v>
      </c>
      <c r="P53" t="s">
        <v>239</v>
      </c>
      <c r="Q53">
        <v>1</v>
      </c>
      <c r="X53">
        <v>1.33</v>
      </c>
      <c r="Y53">
        <v>0</v>
      </c>
      <c r="Z53">
        <v>0</v>
      </c>
      <c r="AA53">
        <v>0</v>
      </c>
      <c r="AB53">
        <v>9.07</v>
      </c>
      <c r="AC53">
        <v>0</v>
      </c>
      <c r="AD53">
        <v>1</v>
      </c>
      <c r="AE53">
        <v>1</v>
      </c>
      <c r="AF53" t="s">
        <v>3</v>
      </c>
      <c r="AG53">
        <v>1.33</v>
      </c>
      <c r="AH53">
        <v>2</v>
      </c>
      <c r="AI53">
        <v>73147554</v>
      </c>
      <c r="AJ53">
        <v>53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>
      <c r="A54">
        <f>ROW(Source!A60)</f>
        <v>60</v>
      </c>
      <c r="B54">
        <v>73147558</v>
      </c>
      <c r="C54">
        <v>73147553</v>
      </c>
      <c r="D54">
        <v>55597967</v>
      </c>
      <c r="E54">
        <v>58</v>
      </c>
      <c r="F54">
        <v>1</v>
      </c>
      <c r="G54">
        <v>1</v>
      </c>
      <c r="H54">
        <v>1</v>
      </c>
      <c r="I54" t="s">
        <v>250</v>
      </c>
      <c r="J54" t="s">
        <v>3</v>
      </c>
      <c r="K54" t="s">
        <v>243</v>
      </c>
      <c r="L54">
        <v>1191</v>
      </c>
      <c r="N54">
        <v>1013</v>
      </c>
      <c r="O54" t="s">
        <v>239</v>
      </c>
      <c r="P54" t="s">
        <v>239</v>
      </c>
      <c r="Q54">
        <v>1</v>
      </c>
      <c r="X54">
        <v>0.65</v>
      </c>
      <c r="Y54">
        <v>0</v>
      </c>
      <c r="Z54">
        <v>0</v>
      </c>
      <c r="AA54">
        <v>0</v>
      </c>
      <c r="AB54">
        <v>0</v>
      </c>
      <c r="AC54">
        <v>0</v>
      </c>
      <c r="AD54">
        <v>1</v>
      </c>
      <c r="AE54">
        <v>2</v>
      </c>
      <c r="AF54" t="s">
        <v>3</v>
      </c>
      <c r="AG54">
        <v>0.65</v>
      </c>
      <c r="AH54">
        <v>2</v>
      </c>
      <c r="AI54">
        <v>73147555</v>
      </c>
      <c r="AJ54">
        <v>54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>
      <c r="A55">
        <f>ROW(Source!A60)</f>
        <v>60</v>
      </c>
      <c r="B55">
        <v>73147559</v>
      </c>
      <c r="C55">
        <v>73147553</v>
      </c>
      <c r="D55">
        <v>55758922</v>
      </c>
      <c r="E55">
        <v>1</v>
      </c>
      <c r="F55">
        <v>1</v>
      </c>
      <c r="G55">
        <v>1</v>
      </c>
      <c r="H55">
        <v>2</v>
      </c>
      <c r="I55" t="s">
        <v>244</v>
      </c>
      <c r="J55" t="s">
        <v>245</v>
      </c>
      <c r="K55" t="s">
        <v>246</v>
      </c>
      <c r="L55">
        <v>1368</v>
      </c>
      <c r="N55">
        <v>1011</v>
      </c>
      <c r="O55" t="s">
        <v>247</v>
      </c>
      <c r="P55" t="s">
        <v>247</v>
      </c>
      <c r="Q55">
        <v>1</v>
      </c>
      <c r="X55">
        <v>0.65</v>
      </c>
      <c r="Y55">
        <v>0</v>
      </c>
      <c r="Z55">
        <v>199.96</v>
      </c>
      <c r="AA55">
        <v>11.6</v>
      </c>
      <c r="AB55">
        <v>0</v>
      </c>
      <c r="AC55">
        <v>0</v>
      </c>
      <c r="AD55">
        <v>1</v>
      </c>
      <c r="AE55">
        <v>0</v>
      </c>
      <c r="AF55" t="s">
        <v>3</v>
      </c>
      <c r="AG55">
        <v>0.65</v>
      </c>
      <c r="AH55">
        <v>2</v>
      </c>
      <c r="AI55">
        <v>73147556</v>
      </c>
      <c r="AJ55">
        <v>55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>
      <c r="A56">
        <f>ROW(Source!A61)</f>
        <v>61</v>
      </c>
      <c r="B56">
        <v>73147557</v>
      </c>
      <c r="C56">
        <v>73147553</v>
      </c>
      <c r="D56">
        <v>55597804</v>
      </c>
      <c r="E56">
        <v>58</v>
      </c>
      <c r="F56">
        <v>1</v>
      </c>
      <c r="G56">
        <v>1</v>
      </c>
      <c r="H56">
        <v>1</v>
      </c>
      <c r="I56" t="s">
        <v>237</v>
      </c>
      <c r="J56" t="s">
        <v>3</v>
      </c>
      <c r="K56" t="s">
        <v>238</v>
      </c>
      <c r="L56">
        <v>1191</v>
      </c>
      <c r="N56">
        <v>1013</v>
      </c>
      <c r="O56" t="s">
        <v>239</v>
      </c>
      <c r="P56" t="s">
        <v>239</v>
      </c>
      <c r="Q56">
        <v>1</v>
      </c>
      <c r="X56">
        <v>1.33</v>
      </c>
      <c r="Y56">
        <v>0</v>
      </c>
      <c r="Z56">
        <v>0</v>
      </c>
      <c r="AA56">
        <v>0</v>
      </c>
      <c r="AB56">
        <v>9.07</v>
      </c>
      <c r="AC56">
        <v>0</v>
      </c>
      <c r="AD56">
        <v>1</v>
      </c>
      <c r="AE56">
        <v>1</v>
      </c>
      <c r="AF56" t="s">
        <v>3</v>
      </c>
      <c r="AG56">
        <v>1.33</v>
      </c>
      <c r="AH56">
        <v>2</v>
      </c>
      <c r="AI56">
        <v>73147554</v>
      </c>
      <c r="AJ56">
        <v>56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>
      <c r="A57">
        <f>ROW(Source!A61)</f>
        <v>61</v>
      </c>
      <c r="B57">
        <v>73147558</v>
      </c>
      <c r="C57">
        <v>73147553</v>
      </c>
      <c r="D57">
        <v>55597967</v>
      </c>
      <c r="E57">
        <v>58</v>
      </c>
      <c r="F57">
        <v>1</v>
      </c>
      <c r="G57">
        <v>1</v>
      </c>
      <c r="H57">
        <v>1</v>
      </c>
      <c r="I57" t="s">
        <v>250</v>
      </c>
      <c r="J57" t="s">
        <v>3</v>
      </c>
      <c r="K57" t="s">
        <v>243</v>
      </c>
      <c r="L57">
        <v>1191</v>
      </c>
      <c r="N57">
        <v>1013</v>
      </c>
      <c r="O57" t="s">
        <v>239</v>
      </c>
      <c r="P57" t="s">
        <v>239</v>
      </c>
      <c r="Q57">
        <v>1</v>
      </c>
      <c r="X57">
        <v>0.65</v>
      </c>
      <c r="Y57">
        <v>0</v>
      </c>
      <c r="Z57">
        <v>0</v>
      </c>
      <c r="AA57">
        <v>0</v>
      </c>
      <c r="AB57">
        <v>0</v>
      </c>
      <c r="AC57">
        <v>0</v>
      </c>
      <c r="AD57">
        <v>1</v>
      </c>
      <c r="AE57">
        <v>2</v>
      </c>
      <c r="AF57" t="s">
        <v>3</v>
      </c>
      <c r="AG57">
        <v>0.65</v>
      </c>
      <c r="AH57">
        <v>2</v>
      </c>
      <c r="AI57">
        <v>73147555</v>
      </c>
      <c r="AJ57">
        <v>57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>
      <c r="A58">
        <f>ROW(Source!A61)</f>
        <v>61</v>
      </c>
      <c r="B58">
        <v>73147559</v>
      </c>
      <c r="C58">
        <v>73147553</v>
      </c>
      <c r="D58">
        <v>55758922</v>
      </c>
      <c r="E58">
        <v>1</v>
      </c>
      <c r="F58">
        <v>1</v>
      </c>
      <c r="G58">
        <v>1</v>
      </c>
      <c r="H58">
        <v>2</v>
      </c>
      <c r="I58" t="s">
        <v>244</v>
      </c>
      <c r="J58" t="s">
        <v>245</v>
      </c>
      <c r="K58" t="s">
        <v>246</v>
      </c>
      <c r="L58">
        <v>1368</v>
      </c>
      <c r="N58">
        <v>1011</v>
      </c>
      <c r="O58" t="s">
        <v>247</v>
      </c>
      <c r="P58" t="s">
        <v>247</v>
      </c>
      <c r="Q58">
        <v>1</v>
      </c>
      <c r="X58">
        <v>0.65</v>
      </c>
      <c r="Y58">
        <v>0</v>
      </c>
      <c r="Z58">
        <v>199.96</v>
      </c>
      <c r="AA58">
        <v>11.6</v>
      </c>
      <c r="AB58">
        <v>0</v>
      </c>
      <c r="AC58">
        <v>0</v>
      </c>
      <c r="AD58">
        <v>1</v>
      </c>
      <c r="AE58">
        <v>0</v>
      </c>
      <c r="AF58" t="s">
        <v>3</v>
      </c>
      <c r="AG58">
        <v>0.65</v>
      </c>
      <c r="AH58">
        <v>2</v>
      </c>
      <c r="AI58">
        <v>73147556</v>
      </c>
      <c r="AJ58">
        <v>58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>
      <c r="A59">
        <f>ROW(Source!A62)</f>
        <v>62</v>
      </c>
      <c r="B59">
        <v>73147564</v>
      </c>
      <c r="C59">
        <v>73147560</v>
      </c>
      <c r="D59">
        <v>55597748</v>
      </c>
      <c r="E59">
        <v>58</v>
      </c>
      <c r="F59">
        <v>1</v>
      </c>
      <c r="G59">
        <v>1</v>
      </c>
      <c r="H59">
        <v>1</v>
      </c>
      <c r="I59" t="s">
        <v>253</v>
      </c>
      <c r="J59" t="s">
        <v>3</v>
      </c>
      <c r="K59" t="s">
        <v>254</v>
      </c>
      <c r="L59">
        <v>1191</v>
      </c>
      <c r="N59">
        <v>1013</v>
      </c>
      <c r="O59" t="s">
        <v>239</v>
      </c>
      <c r="P59" t="s">
        <v>239</v>
      </c>
      <c r="Q59">
        <v>1</v>
      </c>
      <c r="X59">
        <v>3.7</v>
      </c>
      <c r="Y59">
        <v>0</v>
      </c>
      <c r="Z59">
        <v>0</v>
      </c>
      <c r="AA59">
        <v>0</v>
      </c>
      <c r="AB59">
        <v>7.74</v>
      </c>
      <c r="AC59">
        <v>0</v>
      </c>
      <c r="AD59">
        <v>1</v>
      </c>
      <c r="AE59">
        <v>1</v>
      </c>
      <c r="AF59" t="s">
        <v>3</v>
      </c>
      <c r="AG59">
        <v>3.7</v>
      </c>
      <c r="AH59">
        <v>2</v>
      </c>
      <c r="AI59">
        <v>73147561</v>
      </c>
      <c r="AJ59">
        <v>59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>
      <c r="A60">
        <f>ROW(Source!A62)</f>
        <v>62</v>
      </c>
      <c r="B60">
        <v>73147565</v>
      </c>
      <c r="C60">
        <v>73147560</v>
      </c>
      <c r="D60">
        <v>55597967</v>
      </c>
      <c r="E60">
        <v>58</v>
      </c>
      <c r="F60">
        <v>1</v>
      </c>
      <c r="G60">
        <v>1</v>
      </c>
      <c r="H60">
        <v>1</v>
      </c>
      <c r="I60" t="s">
        <v>250</v>
      </c>
      <c r="J60" t="s">
        <v>3</v>
      </c>
      <c r="K60" t="s">
        <v>243</v>
      </c>
      <c r="L60">
        <v>1191</v>
      </c>
      <c r="N60">
        <v>1013</v>
      </c>
      <c r="O60" t="s">
        <v>239</v>
      </c>
      <c r="P60" t="s">
        <v>239</v>
      </c>
      <c r="Q60">
        <v>1</v>
      </c>
      <c r="X60">
        <v>0.03</v>
      </c>
      <c r="Y60">
        <v>0</v>
      </c>
      <c r="Z60">
        <v>0</v>
      </c>
      <c r="AA60">
        <v>0</v>
      </c>
      <c r="AB60">
        <v>0</v>
      </c>
      <c r="AC60">
        <v>0</v>
      </c>
      <c r="AD60">
        <v>1</v>
      </c>
      <c r="AE60">
        <v>2</v>
      </c>
      <c r="AF60" t="s">
        <v>3</v>
      </c>
      <c r="AG60">
        <v>0.03</v>
      </c>
      <c r="AH60">
        <v>2</v>
      </c>
      <c r="AI60">
        <v>73147562</v>
      </c>
      <c r="AJ60">
        <v>60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>
      <c r="A61">
        <f>ROW(Source!A62)</f>
        <v>62</v>
      </c>
      <c r="B61">
        <v>73147566</v>
      </c>
      <c r="C61">
        <v>73147560</v>
      </c>
      <c r="D61">
        <v>55759668</v>
      </c>
      <c r="E61">
        <v>1</v>
      </c>
      <c r="F61">
        <v>1</v>
      </c>
      <c r="G61">
        <v>1</v>
      </c>
      <c r="H61">
        <v>2</v>
      </c>
      <c r="I61" t="s">
        <v>255</v>
      </c>
      <c r="J61" t="s">
        <v>256</v>
      </c>
      <c r="K61" t="s">
        <v>257</v>
      </c>
      <c r="L61">
        <v>1368</v>
      </c>
      <c r="N61">
        <v>1011</v>
      </c>
      <c r="O61" t="s">
        <v>247</v>
      </c>
      <c r="P61" t="s">
        <v>247</v>
      </c>
      <c r="Q61">
        <v>1</v>
      </c>
      <c r="X61">
        <v>0.03</v>
      </c>
      <c r="Y61">
        <v>0</v>
      </c>
      <c r="Z61">
        <v>65.709999999999994</v>
      </c>
      <c r="AA61">
        <v>11.6</v>
      </c>
      <c r="AB61">
        <v>0</v>
      </c>
      <c r="AC61">
        <v>0</v>
      </c>
      <c r="AD61">
        <v>1</v>
      </c>
      <c r="AE61">
        <v>0</v>
      </c>
      <c r="AF61" t="s">
        <v>3</v>
      </c>
      <c r="AG61">
        <v>0.03</v>
      </c>
      <c r="AH61">
        <v>2</v>
      </c>
      <c r="AI61">
        <v>73147563</v>
      </c>
      <c r="AJ61">
        <v>61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>
      <c r="A62">
        <f>ROW(Source!A62)</f>
        <v>62</v>
      </c>
      <c r="B62">
        <v>73147567</v>
      </c>
      <c r="C62">
        <v>73147560</v>
      </c>
      <c r="D62">
        <v>55600895</v>
      </c>
      <c r="E62">
        <v>58</v>
      </c>
      <c r="F62">
        <v>1</v>
      </c>
      <c r="G62">
        <v>1</v>
      </c>
      <c r="H62">
        <v>3</v>
      </c>
      <c r="I62" t="s">
        <v>260</v>
      </c>
      <c r="J62" t="s">
        <v>3</v>
      </c>
      <c r="K62" t="s">
        <v>261</v>
      </c>
      <c r="L62">
        <v>1339</v>
      </c>
      <c r="N62">
        <v>1007</v>
      </c>
      <c r="O62" t="s">
        <v>21</v>
      </c>
      <c r="P62" t="s">
        <v>21</v>
      </c>
      <c r="Q62">
        <v>1</v>
      </c>
      <c r="X62">
        <v>0.38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 t="s">
        <v>3</v>
      </c>
      <c r="AG62">
        <v>0.38</v>
      </c>
      <c r="AH62">
        <v>3</v>
      </c>
      <c r="AI62">
        <v>-1</v>
      </c>
      <c r="AJ62" t="s">
        <v>3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>
      <c r="A63">
        <f>ROW(Source!A63)</f>
        <v>63</v>
      </c>
      <c r="B63">
        <v>73147564</v>
      </c>
      <c r="C63">
        <v>73147560</v>
      </c>
      <c r="D63">
        <v>55597748</v>
      </c>
      <c r="E63">
        <v>58</v>
      </c>
      <c r="F63">
        <v>1</v>
      </c>
      <c r="G63">
        <v>1</v>
      </c>
      <c r="H63">
        <v>1</v>
      </c>
      <c r="I63" t="s">
        <v>253</v>
      </c>
      <c r="J63" t="s">
        <v>3</v>
      </c>
      <c r="K63" t="s">
        <v>254</v>
      </c>
      <c r="L63">
        <v>1191</v>
      </c>
      <c r="N63">
        <v>1013</v>
      </c>
      <c r="O63" t="s">
        <v>239</v>
      </c>
      <c r="P63" t="s">
        <v>239</v>
      </c>
      <c r="Q63">
        <v>1</v>
      </c>
      <c r="X63">
        <v>3.7</v>
      </c>
      <c r="Y63">
        <v>0</v>
      </c>
      <c r="Z63">
        <v>0</v>
      </c>
      <c r="AA63">
        <v>0</v>
      </c>
      <c r="AB63">
        <v>7.74</v>
      </c>
      <c r="AC63">
        <v>0</v>
      </c>
      <c r="AD63">
        <v>1</v>
      </c>
      <c r="AE63">
        <v>1</v>
      </c>
      <c r="AF63" t="s">
        <v>3</v>
      </c>
      <c r="AG63">
        <v>3.7</v>
      </c>
      <c r="AH63">
        <v>2</v>
      </c>
      <c r="AI63">
        <v>73147561</v>
      </c>
      <c r="AJ63">
        <v>62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>
      <c r="A64">
        <f>ROW(Source!A63)</f>
        <v>63</v>
      </c>
      <c r="B64">
        <v>73147565</v>
      </c>
      <c r="C64">
        <v>73147560</v>
      </c>
      <c r="D64">
        <v>55597967</v>
      </c>
      <c r="E64">
        <v>58</v>
      </c>
      <c r="F64">
        <v>1</v>
      </c>
      <c r="G64">
        <v>1</v>
      </c>
      <c r="H64">
        <v>1</v>
      </c>
      <c r="I64" t="s">
        <v>250</v>
      </c>
      <c r="J64" t="s">
        <v>3</v>
      </c>
      <c r="K64" t="s">
        <v>243</v>
      </c>
      <c r="L64">
        <v>1191</v>
      </c>
      <c r="N64">
        <v>1013</v>
      </c>
      <c r="O64" t="s">
        <v>239</v>
      </c>
      <c r="P64" t="s">
        <v>239</v>
      </c>
      <c r="Q64">
        <v>1</v>
      </c>
      <c r="X64">
        <v>0.03</v>
      </c>
      <c r="Y64">
        <v>0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2</v>
      </c>
      <c r="AF64" t="s">
        <v>3</v>
      </c>
      <c r="AG64">
        <v>0.03</v>
      </c>
      <c r="AH64">
        <v>2</v>
      </c>
      <c r="AI64">
        <v>73147562</v>
      </c>
      <c r="AJ64">
        <v>63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>
      <c r="A65">
        <f>ROW(Source!A63)</f>
        <v>63</v>
      </c>
      <c r="B65">
        <v>73147566</v>
      </c>
      <c r="C65">
        <v>73147560</v>
      </c>
      <c r="D65">
        <v>55759668</v>
      </c>
      <c r="E65">
        <v>1</v>
      </c>
      <c r="F65">
        <v>1</v>
      </c>
      <c r="G65">
        <v>1</v>
      </c>
      <c r="H65">
        <v>2</v>
      </c>
      <c r="I65" t="s">
        <v>255</v>
      </c>
      <c r="J65" t="s">
        <v>256</v>
      </c>
      <c r="K65" t="s">
        <v>257</v>
      </c>
      <c r="L65">
        <v>1368</v>
      </c>
      <c r="N65">
        <v>1011</v>
      </c>
      <c r="O65" t="s">
        <v>247</v>
      </c>
      <c r="P65" t="s">
        <v>247</v>
      </c>
      <c r="Q65">
        <v>1</v>
      </c>
      <c r="X65">
        <v>0.03</v>
      </c>
      <c r="Y65">
        <v>0</v>
      </c>
      <c r="Z65">
        <v>65.709999999999994</v>
      </c>
      <c r="AA65">
        <v>11.6</v>
      </c>
      <c r="AB65">
        <v>0</v>
      </c>
      <c r="AC65">
        <v>0</v>
      </c>
      <c r="AD65">
        <v>1</v>
      </c>
      <c r="AE65">
        <v>0</v>
      </c>
      <c r="AF65" t="s">
        <v>3</v>
      </c>
      <c r="AG65">
        <v>0.03</v>
      </c>
      <c r="AH65">
        <v>2</v>
      </c>
      <c r="AI65">
        <v>73147563</v>
      </c>
      <c r="AJ65">
        <v>64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>
      <c r="A66">
        <f>ROW(Source!A63)</f>
        <v>63</v>
      </c>
      <c r="B66">
        <v>73147567</v>
      </c>
      <c r="C66">
        <v>73147560</v>
      </c>
      <c r="D66">
        <v>55600895</v>
      </c>
      <c r="E66">
        <v>58</v>
      </c>
      <c r="F66">
        <v>1</v>
      </c>
      <c r="G66">
        <v>1</v>
      </c>
      <c r="H66">
        <v>3</v>
      </c>
      <c r="I66" t="s">
        <v>260</v>
      </c>
      <c r="J66" t="s">
        <v>3</v>
      </c>
      <c r="K66" t="s">
        <v>261</v>
      </c>
      <c r="L66">
        <v>1339</v>
      </c>
      <c r="N66">
        <v>1007</v>
      </c>
      <c r="O66" t="s">
        <v>21</v>
      </c>
      <c r="P66" t="s">
        <v>21</v>
      </c>
      <c r="Q66">
        <v>1</v>
      </c>
      <c r="X66">
        <v>0.38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 t="s">
        <v>3</v>
      </c>
      <c r="AG66">
        <v>0.38</v>
      </c>
      <c r="AH66">
        <v>3</v>
      </c>
      <c r="AI66">
        <v>-1</v>
      </c>
      <c r="AJ66" t="s">
        <v>3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>
      <c r="A67">
        <f>ROW(Source!A64)</f>
        <v>64</v>
      </c>
      <c r="B67">
        <v>73147570</v>
      </c>
      <c r="C67">
        <v>73147568</v>
      </c>
      <c r="D67">
        <v>55597784</v>
      </c>
      <c r="E67">
        <v>58</v>
      </c>
      <c r="F67">
        <v>1</v>
      </c>
      <c r="G67">
        <v>1</v>
      </c>
      <c r="H67">
        <v>1</v>
      </c>
      <c r="I67" t="s">
        <v>258</v>
      </c>
      <c r="J67" t="s">
        <v>3</v>
      </c>
      <c r="K67" t="s">
        <v>259</v>
      </c>
      <c r="L67">
        <v>1191</v>
      </c>
      <c r="N67">
        <v>1013</v>
      </c>
      <c r="O67" t="s">
        <v>239</v>
      </c>
      <c r="P67" t="s">
        <v>239</v>
      </c>
      <c r="Q67">
        <v>1</v>
      </c>
      <c r="X67">
        <v>0.53</v>
      </c>
      <c r="Y67">
        <v>0</v>
      </c>
      <c r="Z67">
        <v>0</v>
      </c>
      <c r="AA67">
        <v>0</v>
      </c>
      <c r="AB67">
        <v>8.4600000000000009</v>
      </c>
      <c r="AC67">
        <v>0</v>
      </c>
      <c r="AD67">
        <v>1</v>
      </c>
      <c r="AE67">
        <v>1</v>
      </c>
      <c r="AF67" t="s">
        <v>3</v>
      </c>
      <c r="AG67">
        <v>0.53</v>
      </c>
      <c r="AH67">
        <v>2</v>
      </c>
      <c r="AI67">
        <v>73147569</v>
      </c>
      <c r="AJ67">
        <v>65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>
      <c r="A68">
        <f>ROW(Source!A65)</f>
        <v>65</v>
      </c>
      <c r="B68">
        <v>73147570</v>
      </c>
      <c r="C68">
        <v>73147568</v>
      </c>
      <c r="D68">
        <v>55597784</v>
      </c>
      <c r="E68">
        <v>58</v>
      </c>
      <c r="F68">
        <v>1</v>
      </c>
      <c r="G68">
        <v>1</v>
      </c>
      <c r="H68">
        <v>1</v>
      </c>
      <c r="I68" t="s">
        <v>258</v>
      </c>
      <c r="J68" t="s">
        <v>3</v>
      </c>
      <c r="K68" t="s">
        <v>259</v>
      </c>
      <c r="L68">
        <v>1191</v>
      </c>
      <c r="N68">
        <v>1013</v>
      </c>
      <c r="O68" t="s">
        <v>239</v>
      </c>
      <c r="P68" t="s">
        <v>239</v>
      </c>
      <c r="Q68">
        <v>1</v>
      </c>
      <c r="X68">
        <v>0.53</v>
      </c>
      <c r="Y68">
        <v>0</v>
      </c>
      <c r="Z68">
        <v>0</v>
      </c>
      <c r="AA68">
        <v>0</v>
      </c>
      <c r="AB68">
        <v>8.4600000000000009</v>
      </c>
      <c r="AC68">
        <v>0</v>
      </c>
      <c r="AD68">
        <v>1</v>
      </c>
      <c r="AE68">
        <v>1</v>
      </c>
      <c r="AF68" t="s">
        <v>3</v>
      </c>
      <c r="AG68">
        <v>0.53</v>
      </c>
      <c r="AH68">
        <v>2</v>
      </c>
      <c r="AI68">
        <v>73147569</v>
      </c>
      <c r="AJ68">
        <v>66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Смета по ФЕР 421пр (12 гр.</vt:lpstr>
      <vt:lpstr>Ведомость объемов работ</vt:lpstr>
      <vt:lpstr>Source</vt:lpstr>
      <vt:lpstr>SourceObSm</vt:lpstr>
      <vt:lpstr>SmtRes</vt:lpstr>
      <vt:lpstr>EtalonRes</vt:lpstr>
      <vt:lpstr>'Ведомость объемов работ'!Заголовки_для_печати</vt:lpstr>
      <vt:lpstr>'Смета по ФЕР 421пр (12 гр.'!Заголовки_для_печати</vt:lpstr>
      <vt:lpstr>'Ведомость объемов работ'!Область_печати</vt:lpstr>
      <vt:lpstr>'Смета по ФЕР 421пр (12 гр.'!Область_печати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2022-01-26T14:37:17Z</dcterms:created>
  <dcterms:modified xsi:type="dcterms:W3CDTF">2022-02-08T06:39:46Z</dcterms:modified>
</cp:coreProperties>
</file>